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b. Ejecucion del presupuesto\2025\"/>
    </mc:Choice>
  </mc:AlternateContent>
  <xr:revisionPtr revIDLastSave="0" documentId="13_ncr:1_{AEE047D4-8823-4693-976D-97BC0AACBE5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  <sheet name="Hoja1" sheetId="3" r:id="rId2"/>
  </sheets>
  <definedNames>
    <definedName name="_xlnm.Print_Area" localSheetId="0">'P2 Presupuesto Aprobado-Ejec '!$C$1:$R$103</definedName>
    <definedName name="Print_Area" localSheetId="0">'P2 Presupuesto Aprobado-Ejec '!$B$1:$R$101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5" i="2" l="1"/>
  <c r="O28" i="2" l="1"/>
  <c r="O27" i="2"/>
  <c r="O26" i="2"/>
  <c r="O20" i="2"/>
  <c r="O19" i="2"/>
  <c r="O25" i="2"/>
  <c r="O13" i="2"/>
  <c r="O12" i="2"/>
  <c r="O14" i="2"/>
  <c r="O17" i="2"/>
  <c r="O18" i="2" l="1"/>
  <c r="N28" i="2"/>
  <c r="N19" i="2"/>
  <c r="N18" i="2" s="1"/>
  <c r="N13" i="2"/>
  <c r="N12" i="2" s="1"/>
  <c r="M28" i="2" l="1"/>
  <c r="M19" i="2"/>
  <c r="M18" i="2" s="1"/>
  <c r="M13" i="2"/>
  <c r="M12" i="2" s="1"/>
  <c r="M17" i="2"/>
  <c r="L54" i="2" l="1"/>
  <c r="L31" i="2"/>
  <c r="L28" i="2" s="1"/>
  <c r="L22" i="2"/>
  <c r="L19" i="2"/>
  <c r="L18" i="2" s="1"/>
  <c r="L13" i="2"/>
  <c r="K54" i="2" l="1"/>
  <c r="K28" i="2"/>
  <c r="K18" i="2"/>
  <c r="K13" i="2"/>
  <c r="J28" i="2" l="1"/>
  <c r="J13" i="2"/>
  <c r="I54" i="2" l="1"/>
  <c r="I28" i="2"/>
  <c r="I18" i="2"/>
  <c r="I13" i="2"/>
  <c r="H28" i="2" l="1"/>
  <c r="H19" i="2"/>
  <c r="H26" i="2" l="1"/>
  <c r="H25" i="2"/>
  <c r="H18" i="2" s="1"/>
  <c r="H17" i="2"/>
  <c r="H13" i="2"/>
  <c r="H12" i="2" s="1"/>
  <c r="G28" i="2" l="1"/>
  <c r="G27" i="2"/>
  <c r="G25" i="2"/>
  <c r="G19" i="2"/>
  <c r="G18" i="2" s="1"/>
  <c r="G17" i="2"/>
  <c r="G13" i="2"/>
  <c r="F28" i="2" l="1"/>
  <c r="F19" i="2"/>
  <c r="F18" i="2" s="1"/>
  <c r="F17" i="2"/>
  <c r="F13" i="2"/>
  <c r="F12" i="2" s="1"/>
  <c r="F85" i="2" l="1"/>
  <c r="F11" i="2"/>
  <c r="D13" i="2"/>
  <c r="D12" i="2"/>
  <c r="D25" i="2"/>
  <c r="D24" i="2"/>
  <c r="D23" i="2"/>
  <c r="D18" i="2" s="1"/>
  <c r="D19" i="2"/>
  <c r="D17" i="2"/>
  <c r="D16" i="2"/>
  <c r="D14" i="2"/>
  <c r="D37" i="2"/>
  <c r="D35" i="2"/>
  <c r="D33" i="2"/>
  <c r="D31" i="2"/>
  <c r="D30" i="2"/>
  <c r="D27" i="2"/>
  <c r="D26" i="2"/>
  <c r="D54" i="2"/>
  <c r="D29" i="2"/>
  <c r="D28" i="2" s="1"/>
  <c r="D11" i="2" l="1"/>
  <c r="Q18" i="2"/>
  <c r="Q12" i="2"/>
  <c r="Q85" i="2" l="1"/>
  <c r="Q11" i="2"/>
  <c r="P18" i="2"/>
  <c r="P12" i="2"/>
  <c r="O11" i="2" l="1"/>
  <c r="R13" i="2" l="1"/>
  <c r="M11" i="2" l="1"/>
  <c r="L12" i="2" l="1"/>
  <c r="K12" i="2" l="1"/>
  <c r="J18" i="2" l="1"/>
  <c r="J12" i="2"/>
  <c r="I12" i="2" l="1"/>
  <c r="I85" i="2" l="1"/>
  <c r="I11" i="2"/>
  <c r="G12" i="2"/>
  <c r="P85" i="2" l="1"/>
  <c r="P11" i="2"/>
  <c r="N16" i="3"/>
  <c r="I11" i="3"/>
  <c r="K11" i="3"/>
  <c r="E85" i="2" l="1"/>
  <c r="O85" i="2" l="1"/>
  <c r="N85" i="2" l="1"/>
  <c r="R18" i="2" l="1"/>
  <c r="R15" i="2"/>
  <c r="R14" i="2"/>
  <c r="M85" i="2" l="1"/>
  <c r="L85" i="2" l="1"/>
  <c r="R28" i="2"/>
  <c r="R74" i="2"/>
  <c r="R75" i="2"/>
  <c r="R76" i="2"/>
  <c r="R77" i="2"/>
  <c r="R78" i="2"/>
  <c r="R79" i="2"/>
  <c r="R80" i="2"/>
  <c r="R81" i="2"/>
  <c r="R82" i="2"/>
  <c r="R83" i="2"/>
  <c r="R84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16" i="2"/>
  <c r="R17" i="2"/>
  <c r="R19" i="2"/>
  <c r="R20" i="2"/>
  <c r="R21" i="2"/>
  <c r="R22" i="2"/>
  <c r="R23" i="2"/>
  <c r="L11" i="2" l="1"/>
  <c r="K11" i="2"/>
  <c r="K85" i="2" l="1"/>
  <c r="J85" i="2" l="1"/>
  <c r="D85" i="2"/>
  <c r="G11" i="2" l="1"/>
  <c r="G85" i="2"/>
  <c r="N11" i="2" l="1"/>
  <c r="R12" i="2" l="1"/>
  <c r="J11" i="2"/>
  <c r="H85" i="2" l="1"/>
  <c r="H11" i="2"/>
  <c r="R11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<sst xmlns="http://schemas.openxmlformats.org/spreadsheetml/2006/main" count="100" uniqueCount="100">
  <si>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</si>
  <si>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</si>
  <si>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</si>
  <si>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</si>
  <si>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</si>
  <si>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</si>
  <si>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</si>
  <si>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</si>
  <si>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</si>
  <si>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</si>
  <si>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</si>
  <si>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</si>
  <si>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</si>
  <si>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</si>
  <si>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</si>
  <si>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</si>
  <si>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</si>
  <si>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</si>
  <si>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</si>
  <si>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</si>
  <si>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</si>
  <si>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</si>
  <si>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</si>
  <si>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</si>
  <si>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</si>
  <si>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</si>
  <si>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</si>
  <si>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</si>
  <si>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</si>
  <si>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</si>
  <si>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</si>
  <si>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</si>
  <si>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</si>
  <si>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</si>
  <si>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</si>
  <si>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</si>
  <si>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</si>
  <si>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</si>
  <si>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</si>
  <si>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</si>
  <si>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</si>
  <si>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</si>
  <si>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</si>
  <si>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</si>
  <si>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</si>
  <si>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</si>
  <si>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</si>
  <si>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</si>
  <si>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</si>
  <si>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</si>
  <si>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</si>
  <si>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</si>
  <si>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</si>
  <si>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</si>
  <si>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</si>
  <si>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</si>
  <si>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</si>
  <si>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</si>
  <si>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</si>
  <si>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</si>
  <si>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</si>
  <si>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</si>
  <si>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</si>
  <si>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</si>
  <si>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</si>
  <si>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</si>
  <si>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</si>
  <si>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</si>
  <si>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</si>
  <si>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</si>
  <si>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</si>
  <si>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</si>
  <si>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</si>
  <si>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</si>
  <si>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</si>
  <si>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</si>
  <si>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</si>
  <si>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</si>
  <si>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</si>
  <si>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</si>
  <si>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</si>
  <si>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</si>
  <si>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</si>
  <si>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</si>
  <si>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</si>
  <si>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</si>
  <si>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</si>
  <si>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</si>
  <si>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</si>
  <si>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</si>
  <si>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</si>
  <si>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</si>
  <si>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</si>
  <si>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Fuente: SIGEF</t>
  </si>
  <si>
    <t>Comision Reguladora de Practicas Desleales en el Comercio y Sobre Medidas de  Salvaguardias (CDC)</t>
  </si>
  <si>
    <t>Gabriela Calderón</t>
  </si>
  <si>
    <t>Encargada Departamento Administrativo y Financiero</t>
  </si>
  <si>
    <t xml:space="preserve"> </t>
  </si>
  <si>
    <t>2.3.6 - PRODUCTOS METALICOS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</si>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</sst>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3" fontId="0" fillId="0" borderId="0" xfId="1" applyFont="1"/>
    <xf numFmtId="43" fontId="3" fillId="0" borderId="0" xfId="0" applyNumberFormat="1" applyFont="1"/>
    <xf numFmtId="43" fontId="0" fillId="0" borderId="7" xfId="1" applyFont="1" applyBorder="1"/>
    <xf numFmtId="43" fontId="0" fillId="0" borderId="0" xfId="1" applyFont="1" applyFill="1" applyBorder="1"/>
    <xf numFmtId="4" fontId="0" fillId="0" borderId="0" xfId="0" applyNumberFormat="1"/>
    <xf numFmtId="4" fontId="3" fillId="0" borderId="0" xfId="0" applyNumberFormat="1" applyFon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43" fontId="8" fillId="0" borderId="0" xfId="0" applyNumberFormat="1" applyFont="1"/>
    <xf numFmtId="43" fontId="8" fillId="0" borderId="0" xfId="1" applyFont="1"/>
    <xf numFmtId="4" fontId="8" fillId="0" borderId="0" xfId="0" applyNumberFormat="1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43" fontId="8" fillId="3" borderId="0" xfId="1" applyFont="1" applyFill="1"/>
    <xf numFmtId="43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10" fillId="2" borderId="2" xfId="0" applyNumberFormat="1" applyFont="1" applyFill="1" applyBorder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39" fontId="8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9" fontId="8" fillId="2" borderId="2" xfId="0" applyNumberFormat="1" applyFont="1" applyFill="1" applyBorder="1" applyAlignment="1">
      <alignment horizontal="center" vertical="center"/>
    </xf>
    <xf numFmtId="39" fontId="6" fillId="0" borderId="0" xfId="0" applyNumberFormat="1" applyFont="1"/>
    <xf numFmtId="43" fontId="0" fillId="0" borderId="0" xfId="0" applyNumberFormat="1"/>
    <xf numFmtId="43" fontId="0" fillId="0" borderId="10" xfId="0" applyNumberFormat="1" applyBorder="1"/>
    <xf numFmtId="3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0</xdr:row>
      <xdr:rowOff>166687</xdr:rowOff>
    </xdr:from>
    <xdr:to>
      <xdr:col>17</xdr:col>
      <xdr:colOff>1071561</xdr:colOff>
      <xdr:row>7</xdr:row>
      <xdr:rowOff>190498</xdr:rowOff>
    </xdr:to>
    <xdr:pic>
      <xdr:nvPicPr>
        <xdr:cNvPr id="4" name="Imagen 1" descr="cid:image002.png@01D3A02A.6E5522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166687"/>
          <a:ext cx="2976561" cy="163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345281</xdr:colOff>
      <xdr:row>0</xdr:row>
      <xdr:rowOff>0</xdr:rowOff>
    </xdr:from>
    <xdr:to>
      <xdr:col>2</xdr:col>
      <xdr:colOff>2047081</xdr:colOff>
      <xdr:row>7</xdr:row>
      <xdr:rowOff>102067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FBE0E-877F-4050-B87C-3F39283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0"/>
          <a:ext cx="1704975" cy="171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95"/>
  <sheetViews>
    <sheetView showGridLines="0" tabSelected="1" topLeftCell="A67" zoomScale="80" zoomScaleNormal="80" workbookViewId="0">
      <selection activeCell="I93" sqref="I93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92.28515625" customWidth="1"/>
    <col min="4" max="4" width="22" bestFit="1" customWidth="1"/>
    <col min="5" max="5" width="14.140625" customWidth="1"/>
    <col min="6" max="6" width="16.42578125" style="41" customWidth="1"/>
    <col min="7" max="7" width="15.7109375" customWidth="1"/>
    <col min="8" max="8" width="15.5703125" customWidth="1"/>
    <col min="9" max="9" width="16.5703125" customWidth="1"/>
    <col min="10" max="10" width="16.28515625" customWidth="1"/>
    <col min="11" max="12" width="16.42578125" customWidth="1"/>
    <col min="13" max="13" width="15.85546875" customWidth="1"/>
    <col min="14" max="14" width="15.5703125" customWidth="1"/>
    <col min="15" max="16" width="15.7109375" bestFit="1" customWidth="1"/>
    <col min="17" max="17" width="20.42578125" bestFit="1" customWidth="1"/>
    <col min="18" max="18" width="20.28515625" customWidth="1"/>
    <col min="19" max="19" width="16" bestFit="1" customWidth="1"/>
  </cols>
  <sheetData>
    <row r="3" spans="3:19" ht="28.5" customHeight="1" x14ac:dyDescent="0.25"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61" t="s">
        <v>94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3:19" ht="15.75" x14ac:dyDescent="0.25">
      <c r="C5" s="66" t="s">
        <v>99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19" ht="15.75" customHeight="1" x14ac:dyDescent="0.25">
      <c r="C6" s="68" t="s">
        <v>90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25">
      <c r="C7" s="55" t="s">
        <v>75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3:19" ht="25.5" customHeight="1" x14ac:dyDescent="0.25">
      <c r="C9" s="63" t="s">
        <v>65</v>
      </c>
      <c r="D9" s="64" t="s">
        <v>92</v>
      </c>
      <c r="E9" s="64" t="s">
        <v>91</v>
      </c>
      <c r="F9" s="56" t="s">
        <v>89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3:19" x14ac:dyDescent="0.25">
      <c r="C10" s="63"/>
      <c r="D10" s="65"/>
      <c r="E10" s="65"/>
      <c r="F10" s="37" t="s">
        <v>77</v>
      </c>
      <c r="G10" s="7" t="s">
        <v>78</v>
      </c>
      <c r="H10" s="7" t="s">
        <v>79</v>
      </c>
      <c r="I10" s="7" t="s">
        <v>80</v>
      </c>
      <c r="J10" s="8" t="s">
        <v>81</v>
      </c>
      <c r="K10" s="7" t="s">
        <v>82</v>
      </c>
      <c r="L10" s="8" t="s">
        <v>83</v>
      </c>
      <c r="M10" s="7" t="s">
        <v>84</v>
      </c>
      <c r="N10" s="7" t="s">
        <v>85</v>
      </c>
      <c r="O10" s="7" t="s">
        <v>86</v>
      </c>
      <c r="P10" s="7" t="s">
        <v>87</v>
      </c>
      <c r="Q10" s="8" t="s">
        <v>88</v>
      </c>
      <c r="R10" s="7" t="s">
        <v>76</v>
      </c>
    </row>
    <row r="11" spans="3:19" ht="20.25" customHeight="1" x14ac:dyDescent="0.25">
      <c r="C11" s="1" t="s">
        <v>0</v>
      </c>
      <c r="D11" s="15">
        <f>+D12+D18+D28+D54</f>
        <v>102701379</v>
      </c>
      <c r="E11" s="2"/>
      <c r="F11" s="36">
        <f>+F12+F18+F28</f>
        <v>5275880.47</v>
      </c>
      <c r="G11" s="15">
        <f>+G12+G18+G28</f>
        <v>5257787.32</v>
      </c>
      <c r="H11" s="15">
        <f>+H12+H18+H28+H54</f>
        <v>5256635.38</v>
      </c>
      <c r="I11" s="15">
        <f>+I12+I18+I28+I54</f>
        <v>9045675.7800000012</v>
      </c>
      <c r="J11" s="15">
        <f>+J12+J18+J28+J54</f>
        <v>6645126.3300000001</v>
      </c>
      <c r="K11" s="47">
        <f>+K12+K18+K28+K54</f>
        <v>8092059.2899999991</v>
      </c>
      <c r="L11" s="15">
        <f>+L12+L18+L28+L54</f>
        <v>6270588.1100000003</v>
      </c>
      <c r="M11" s="15">
        <f>+M12+M18+M28</f>
        <v>6004171.8000000007</v>
      </c>
      <c r="N11" s="15">
        <f>+N12+N18+N28+N54</f>
        <v>5980262.4500000002</v>
      </c>
      <c r="O11" s="15">
        <f>+O12+O18+O28+O54</f>
        <v>9285407.7100000009</v>
      </c>
      <c r="P11" s="15">
        <f>+P12+P18+P28+P54</f>
        <v>0</v>
      </c>
      <c r="Q11" s="15">
        <f>+Q12+Q18+Q28+Q54</f>
        <v>0</v>
      </c>
      <c r="R11" s="15">
        <f>+F11+G11+H11+I11+J11+K11+L11+M11+N11+O11+P11+Q11</f>
        <v>67113594.640000015</v>
      </c>
    </row>
    <row r="12" spans="3:19" s="17" customFormat="1" ht="22.5" customHeight="1" x14ac:dyDescent="0.25">
      <c r="C12" s="16" t="s">
        <v>1</v>
      </c>
      <c r="D12" s="21">
        <f>+D13+D14+D15+D16+D17</f>
        <v>60225359</v>
      </c>
      <c r="E12" s="21"/>
      <c r="F12" s="38">
        <f>+F13+F14+F17</f>
        <v>3448098.85</v>
      </c>
      <c r="G12" s="19">
        <f>+G13+G14+G15+G17</f>
        <v>3448098.85</v>
      </c>
      <c r="H12" s="18">
        <f>+H13+H14+H15+H17</f>
        <v>3473762.87</v>
      </c>
      <c r="I12" s="18">
        <f>+I13+I14+I17</f>
        <v>6116575.6000000006</v>
      </c>
      <c r="J12" s="18">
        <f>+J13+J14+J17+J15</f>
        <v>3734168.0700000003</v>
      </c>
      <c r="K12" s="18">
        <f>+K13+K14+K15+K17</f>
        <v>3398917.94</v>
      </c>
      <c r="L12" s="18">
        <f>+L13+L14+L17</f>
        <v>3402740.44</v>
      </c>
      <c r="M12" s="18">
        <f>+M13+M14+M15+M16+M17</f>
        <v>3633395.27</v>
      </c>
      <c r="N12" s="18">
        <f>+N13+N14+N17+N15</f>
        <v>3219375.02</v>
      </c>
      <c r="O12" s="20">
        <f>+O13+O14+O15+O17</f>
        <v>6009675.0800000001</v>
      </c>
      <c r="P12" s="20">
        <f>+P13+P14+P17</f>
        <v>0</v>
      </c>
      <c r="Q12" s="20">
        <f>+Q13+Q14+Q17+Q15</f>
        <v>0</v>
      </c>
      <c r="R12" s="15">
        <f t="shared" ref="R12:R75" si="0">+F12+G12+H12+I12+J12+K12+L12+M12+N12+O12+P12+Q12</f>
        <v>39884807.990000002</v>
      </c>
      <c r="S12" s="44"/>
    </row>
    <row r="13" spans="3:19" x14ac:dyDescent="0.25">
      <c r="C13" s="5" t="s">
        <v>2</v>
      </c>
      <c r="D13" s="22">
        <f>31292000+100000+6050000+60000+1560000+3304334+300000+600000</f>
        <v>43266334</v>
      </c>
      <c r="E13" s="22"/>
      <c r="F13" s="39">
        <f>2393000+435000+130000</f>
        <v>2958000</v>
      </c>
      <c r="G13" s="9">
        <f>2393000+435000+130000</f>
        <v>2958000</v>
      </c>
      <c r="H13" s="35">
        <f>2393000+435000+130000</f>
        <v>2958000</v>
      </c>
      <c r="I13" s="9">
        <f>2368000+565000+81149.05</f>
        <v>3014149.05</v>
      </c>
      <c r="J13" s="9">
        <f>2343000+590000+84610.06</f>
        <v>3017610.06</v>
      </c>
      <c r="K13" s="13">
        <f>2343000+565000</f>
        <v>2908000</v>
      </c>
      <c r="L13" s="13">
        <f>2368000+565000</f>
        <v>2933000</v>
      </c>
      <c r="M13" s="9">
        <f>2288000+371666.67+130000+79372.4</f>
        <v>2869039.07</v>
      </c>
      <c r="N13" s="13">
        <f>2288000+465000</f>
        <v>2753000</v>
      </c>
      <c r="O13" s="13">
        <f>2288000+130000+411666.67</f>
        <v>2829666.67</v>
      </c>
      <c r="P13" s="13"/>
      <c r="Q13" s="13"/>
      <c r="R13" s="15">
        <f>+F13+G13+H13+I13+J13+K13+L13+M13+N13+O13+P13+Q13</f>
        <v>29198464.850000001</v>
      </c>
      <c r="S13" s="45"/>
    </row>
    <row r="14" spans="3:19" x14ac:dyDescent="0.25">
      <c r="C14" s="5" t="s">
        <v>3</v>
      </c>
      <c r="D14" s="22">
        <f>750000+3153000+205000+3269334</f>
        <v>7377334</v>
      </c>
      <c r="E14" s="22"/>
      <c r="F14" s="39">
        <v>62000</v>
      </c>
      <c r="G14" s="11">
        <v>62000</v>
      </c>
      <c r="H14" s="9">
        <v>62000</v>
      </c>
      <c r="I14" s="12">
        <v>2669686.11</v>
      </c>
      <c r="J14" s="12">
        <v>247288.89</v>
      </c>
      <c r="K14" s="12">
        <v>62000</v>
      </c>
      <c r="L14" s="12">
        <v>37000</v>
      </c>
      <c r="M14" s="12">
        <v>62000</v>
      </c>
      <c r="N14" s="12">
        <v>45333.33</v>
      </c>
      <c r="O14" s="52">
        <f>37000+2713833.33</f>
        <v>2750833.33</v>
      </c>
      <c r="P14" s="13"/>
      <c r="Q14" s="13"/>
      <c r="R14" s="15">
        <f>+F14+G14+H14+I14+J14+K14+L14+M14+N14+O14+P14+Q14</f>
        <v>6060141.6600000001</v>
      </c>
      <c r="S14" s="45"/>
    </row>
    <row r="15" spans="3:19" x14ac:dyDescent="0.25">
      <c r="C15" s="5" t="s">
        <v>4</v>
      </c>
      <c r="D15" s="24">
        <v>370000</v>
      </c>
      <c r="E15" s="22"/>
      <c r="F15" s="39"/>
      <c r="G15" s="9"/>
      <c r="H15" s="9">
        <v>25664.02</v>
      </c>
      <c r="I15" s="9"/>
      <c r="J15" s="13">
        <v>36528.68</v>
      </c>
      <c r="K15" s="9"/>
      <c r="L15" s="12"/>
      <c r="M15" s="9">
        <v>102385.12</v>
      </c>
      <c r="N15" s="13">
        <v>15676.94</v>
      </c>
      <c r="O15" s="13">
        <v>12088</v>
      </c>
      <c r="P15" s="13"/>
      <c r="Q15" s="13"/>
      <c r="R15" s="15">
        <f>+F15+G15+H15+I15+J15+K15+L15+M15+N15+O15+P15+Q15</f>
        <v>192342.76</v>
      </c>
      <c r="S15" s="46"/>
    </row>
    <row r="16" spans="3:19" x14ac:dyDescent="0.25">
      <c r="C16" s="5" t="s">
        <v>5</v>
      </c>
      <c r="D16" s="22">
        <f>200000+3269334</f>
        <v>3469334</v>
      </c>
      <c r="E16" s="22"/>
      <c r="F16" s="39"/>
      <c r="G16" s="9"/>
      <c r="H16" s="9"/>
      <c r="I16" s="9"/>
      <c r="M16" s="9">
        <v>189000</v>
      </c>
      <c r="R16" s="15">
        <f t="shared" si="0"/>
        <v>189000</v>
      </c>
    </row>
    <row r="17" spans="1:18" x14ac:dyDescent="0.25">
      <c r="C17" s="5" t="s">
        <v>6</v>
      </c>
      <c r="D17" s="22">
        <f>2504693+2825400+412264</f>
        <v>5742357</v>
      </c>
      <c r="E17" s="22"/>
      <c r="F17" s="39">
        <f>195978.22+210018+22102.63</f>
        <v>428098.85</v>
      </c>
      <c r="G17" s="9">
        <f>195978.22+210018+22102.63</f>
        <v>428098.85</v>
      </c>
      <c r="H17" s="9">
        <f>195978.22+210018+22102.63</f>
        <v>428098.85</v>
      </c>
      <c r="I17" s="9">
        <v>432740.44</v>
      </c>
      <c r="J17" s="9">
        <v>432740.44</v>
      </c>
      <c r="K17" s="13">
        <v>428917.94</v>
      </c>
      <c r="L17" s="13">
        <v>432740.44</v>
      </c>
      <c r="M17" s="9">
        <f>191547.59+198066.33+21357.16</f>
        <v>410971.07999999996</v>
      </c>
      <c r="N17" s="13">
        <v>405364.75</v>
      </c>
      <c r="O17" s="13">
        <f>194383.59+200906.33+21797.16</f>
        <v>417087.07999999996</v>
      </c>
      <c r="P17" s="13"/>
      <c r="Q17" s="13"/>
      <c r="R17" s="15">
        <f t="shared" si="0"/>
        <v>4244858.72</v>
      </c>
    </row>
    <row r="18" spans="1:18" s="29" customFormat="1" ht="20.25" customHeight="1" x14ac:dyDescent="0.25">
      <c r="C18" s="25" t="s">
        <v>7</v>
      </c>
      <c r="D18" s="26">
        <f>+D19+D20+D21+D22+D23+D24+D25+D26+D27</f>
        <v>37031138</v>
      </c>
      <c r="E18" s="26"/>
      <c r="F18" s="40">
        <f>+F19+F23+F24+F25+F26+F27</f>
        <v>1751357.6599999997</v>
      </c>
      <c r="G18" s="27">
        <f>+G19+G21+G22+G23+G24+G25+G27+G26</f>
        <v>1552830.3099999998</v>
      </c>
      <c r="H18" s="28">
        <f>+H19+H22+H23+H24+H25+H27+H20+H26</f>
        <v>1710018.51</v>
      </c>
      <c r="I18" s="28">
        <f>+I19+I20+I21+I23+I24+I25+I26+I27+I22</f>
        <v>2512491.0400000005</v>
      </c>
      <c r="J18" s="27">
        <f>+J19+J20+J21+J22+J23+J24+J25+J26+J27</f>
        <v>2239755.4099999997</v>
      </c>
      <c r="K18" s="28">
        <f>+K19+K20+K21+K22+K23+K24+K26+K27+K25</f>
        <v>4194617.3499999996</v>
      </c>
      <c r="L18" s="28">
        <f>+L19+L21+L22+L23+L24+L26+L27</f>
        <v>2350560.2800000003</v>
      </c>
      <c r="M18" s="28">
        <f>+M19+M23+M24+M25+M26+M27+M22</f>
        <v>1738398.38</v>
      </c>
      <c r="N18" s="28">
        <f>+N19+N21+N23+N24+N25+N26+N27+N20+N22</f>
        <v>2575069.38</v>
      </c>
      <c r="O18" s="28">
        <f>+O19+O20+O21+O22+O24+O25+O26+O27+O23</f>
        <v>2459425.4</v>
      </c>
      <c r="P18" s="28">
        <f>+P19+P20+P21+P22+P23+P24+P25+P26+P27</f>
        <v>0</v>
      </c>
      <c r="Q18" s="28">
        <f>+Q19+Q20+Q22+Q23+Q24+Q25+Q26+Q27+Q21</f>
        <v>0</v>
      </c>
      <c r="R18" s="15">
        <f>+F18+G18+H18+I18+J18+K18+L18+M18+N18+O18+P18+Q18</f>
        <v>23084523.719999995</v>
      </c>
    </row>
    <row r="19" spans="1:18" ht="15.75" customHeight="1" x14ac:dyDescent="0.25">
      <c r="C19" s="5" t="s">
        <v>8</v>
      </c>
      <c r="D19" s="22">
        <f>1080000+50000+70800+960000+6000+14520+15000+2224226</f>
        <v>4420546</v>
      </c>
      <c r="E19" s="22"/>
      <c r="F19" s="39">
        <f>168008.09+4329+63431.76+1030+900</f>
        <v>237698.85</v>
      </c>
      <c r="G19" s="9">
        <f>87871.6+31471.55+4329+59049.36+1030+1006</f>
        <v>184757.51</v>
      </c>
      <c r="H19" s="9">
        <f>900+1192.6+60144.96+8884.52+15236.14</f>
        <v>86358.22</v>
      </c>
      <c r="I19" s="9">
        <v>155347.63</v>
      </c>
      <c r="J19" s="9">
        <v>168007.13</v>
      </c>
      <c r="K19" s="9">
        <v>239971.14</v>
      </c>
      <c r="L19" s="13">
        <f>94797.07+7632.5+64892.56+1003+900</f>
        <v>169225.13</v>
      </c>
      <c r="M19" s="9">
        <f>97726.68+7598.59+65911.36+900</f>
        <v>172136.63</v>
      </c>
      <c r="N19" s="13">
        <f>84548.3+7632.5+70928.4+2006+900</f>
        <v>166015.20000000001</v>
      </c>
      <c r="O19" s="13">
        <f>85558.84+39282.21+83212.78+1003+900</f>
        <v>209956.83</v>
      </c>
      <c r="P19" s="13"/>
      <c r="Q19" s="13"/>
      <c r="R19" s="15">
        <f t="shared" si="0"/>
        <v>1789474.2699999998</v>
      </c>
    </row>
    <row r="20" spans="1:18" ht="14.25" customHeight="1" x14ac:dyDescent="0.25">
      <c r="C20" s="5" t="s">
        <v>9</v>
      </c>
      <c r="D20" s="22">
        <v>366000</v>
      </c>
      <c r="E20" s="22"/>
      <c r="F20" s="39"/>
      <c r="G20" s="9"/>
      <c r="H20" s="9">
        <v>11829.96</v>
      </c>
      <c r="I20" s="9">
        <v>1000</v>
      </c>
      <c r="J20" s="9">
        <v>2310</v>
      </c>
      <c r="K20" s="9">
        <v>1250</v>
      </c>
      <c r="M20" s="9"/>
      <c r="N20" s="13">
        <v>1000</v>
      </c>
      <c r="O20" s="13">
        <f>236000+1100</f>
        <v>237100</v>
      </c>
      <c r="P20" s="13"/>
      <c r="Q20" s="13"/>
      <c r="R20" s="15">
        <f t="shared" si="0"/>
        <v>254489.96</v>
      </c>
    </row>
    <row r="21" spans="1:18" x14ac:dyDescent="0.25">
      <c r="C21" s="5" t="s">
        <v>10</v>
      </c>
      <c r="D21" s="22">
        <v>3180000</v>
      </c>
      <c r="E21" s="22"/>
      <c r="F21" s="39"/>
      <c r="G21" s="9"/>
      <c r="H21" s="9"/>
      <c r="I21" s="9">
        <v>707175.63</v>
      </c>
      <c r="J21" s="9"/>
      <c r="K21" s="9">
        <v>579327.85</v>
      </c>
      <c r="L21" s="9">
        <v>265341</v>
      </c>
      <c r="M21" s="9"/>
      <c r="N21" s="9"/>
      <c r="O21" s="13">
        <v>7850</v>
      </c>
      <c r="P21" s="13"/>
      <c r="Q21" s="13"/>
      <c r="R21" s="15">
        <f t="shared" si="0"/>
        <v>1559694.48</v>
      </c>
    </row>
    <row r="22" spans="1:18" ht="12.75" customHeight="1" x14ac:dyDescent="0.25">
      <c r="A22">
        <v>1</v>
      </c>
      <c r="C22" s="5" t="s">
        <v>11</v>
      </c>
      <c r="D22" s="22">
        <v>2579364</v>
      </c>
      <c r="E22" s="22"/>
      <c r="F22" s="39"/>
      <c r="G22" s="9">
        <v>13750</v>
      </c>
      <c r="H22" s="9">
        <v>2000</v>
      </c>
      <c r="I22" s="9">
        <v>1400</v>
      </c>
      <c r="J22" s="9">
        <v>367287.03</v>
      </c>
      <c r="K22" s="9">
        <v>1679.6</v>
      </c>
      <c r="L22" s="9">
        <f>218546.44+15500</f>
        <v>234046.44</v>
      </c>
      <c r="M22" s="9">
        <v>4800</v>
      </c>
      <c r="N22" s="34">
        <v>2500</v>
      </c>
      <c r="O22" s="9">
        <v>1305.33</v>
      </c>
      <c r="P22" s="9"/>
      <c r="Q22" s="9"/>
      <c r="R22" s="15">
        <f t="shared" si="0"/>
        <v>628768.4</v>
      </c>
    </row>
    <row r="23" spans="1:18" x14ac:dyDescent="0.25">
      <c r="A23">
        <v>13</v>
      </c>
      <c r="C23" s="5" t="s">
        <v>12</v>
      </c>
      <c r="D23" s="22">
        <f>7476480+950000</f>
        <v>8426480</v>
      </c>
      <c r="E23" s="22"/>
      <c r="F23" s="39">
        <v>582155.36</v>
      </c>
      <c r="G23" s="9">
        <v>585115.74</v>
      </c>
      <c r="H23" s="9">
        <v>590419.14</v>
      </c>
      <c r="I23" s="9">
        <v>598617.78</v>
      </c>
      <c r="J23" s="9">
        <v>692716.58</v>
      </c>
      <c r="K23" s="9">
        <v>635088.18999999994</v>
      </c>
      <c r="L23" s="13">
        <v>566736.06000000006</v>
      </c>
      <c r="M23" s="9">
        <v>578301.01</v>
      </c>
      <c r="N23" s="13">
        <v>599691.1</v>
      </c>
      <c r="O23" s="13">
        <v>744800.75</v>
      </c>
      <c r="P23" s="13"/>
      <c r="Q23" s="13"/>
      <c r="R23" s="15">
        <f t="shared" si="0"/>
        <v>6173641.71</v>
      </c>
    </row>
    <row r="24" spans="1:18" x14ac:dyDescent="0.25">
      <c r="C24" s="5" t="s">
        <v>13</v>
      </c>
      <c r="D24" s="22">
        <f>400100+6730000</f>
        <v>7130100</v>
      </c>
      <c r="E24" s="22"/>
      <c r="F24" s="39">
        <v>480205.18</v>
      </c>
      <c r="G24" s="9">
        <v>480724.65</v>
      </c>
      <c r="H24" s="9">
        <v>481533.94</v>
      </c>
      <c r="I24" s="9">
        <v>932231.62</v>
      </c>
      <c r="J24" s="9">
        <v>499371.85</v>
      </c>
      <c r="K24" s="9">
        <v>496999.86</v>
      </c>
      <c r="L24" s="9">
        <v>501633.18</v>
      </c>
      <c r="M24" s="9">
        <v>515960.33</v>
      </c>
      <c r="N24" s="9">
        <v>507170.27</v>
      </c>
      <c r="O24" s="9">
        <v>502687.92</v>
      </c>
      <c r="P24" s="13"/>
      <c r="Q24" s="13"/>
      <c r="R24" s="15">
        <f t="shared" si="0"/>
        <v>5398518.8000000007</v>
      </c>
    </row>
    <row r="25" spans="1:18" x14ac:dyDescent="0.25">
      <c r="C25" s="5" t="s">
        <v>14</v>
      </c>
      <c r="D25" s="22">
        <f>10000+165000+200000+60000+225000</f>
        <v>660000</v>
      </c>
      <c r="E25" s="22"/>
      <c r="F25" s="39">
        <v>149114.64000000001</v>
      </c>
      <c r="G25" s="9">
        <f>29319.42+11612.88</f>
        <v>40932.299999999996</v>
      </c>
      <c r="H25" s="9">
        <f>139518.82+40120</f>
        <v>179638.82</v>
      </c>
      <c r="I25" s="9">
        <v>750</v>
      </c>
      <c r="J25" s="9">
        <v>242991.3</v>
      </c>
      <c r="K25" s="9">
        <v>15150.8</v>
      </c>
      <c r="L25" s="13"/>
      <c r="M25" s="9">
        <v>46431.12</v>
      </c>
      <c r="N25" s="9">
        <v>14254.59</v>
      </c>
      <c r="O25" s="9">
        <f>1416+248165.4+112572</f>
        <v>362153.4</v>
      </c>
      <c r="P25" s="13"/>
      <c r="Q25" s="13"/>
      <c r="R25" s="15">
        <f t="shared" si="0"/>
        <v>1051416.9700000002</v>
      </c>
    </row>
    <row r="26" spans="1:18" x14ac:dyDescent="0.25">
      <c r="C26" s="5" t="s">
        <v>15</v>
      </c>
      <c r="D26" s="22">
        <f>6000+110000+250000+1500000+4300618</f>
        <v>6166618</v>
      </c>
      <c r="E26" s="22" t="s">
        <v>97</v>
      </c>
      <c r="F26" s="39">
        <v>264200</v>
      </c>
      <c r="G26" s="9">
        <v>42070.42</v>
      </c>
      <c r="H26" s="9">
        <f>180021+392.42+2900+3000</f>
        <v>186313.42</v>
      </c>
      <c r="I26" s="9">
        <v>16365.64</v>
      </c>
      <c r="J26" s="9">
        <v>253635.02</v>
      </c>
      <c r="K26" s="9">
        <v>1636304.41</v>
      </c>
      <c r="L26" s="13">
        <v>470230.01</v>
      </c>
      <c r="M26" s="9">
        <v>181819.42</v>
      </c>
      <c r="N26" s="9">
        <v>1023658.05</v>
      </c>
      <c r="O26" s="13">
        <f>370.67+35000.02+59000</f>
        <v>94370.69</v>
      </c>
      <c r="P26" s="13"/>
      <c r="Q26" s="13"/>
      <c r="R26" s="15">
        <f t="shared" si="0"/>
        <v>4168967.0799999996</v>
      </c>
    </row>
    <row r="27" spans="1:18" ht="15.75" customHeight="1" x14ac:dyDescent="0.25">
      <c r="C27" s="5" t="s">
        <v>16</v>
      </c>
      <c r="D27" s="22">
        <f>1147180+2954850</f>
        <v>4102030</v>
      </c>
      <c r="E27" s="22"/>
      <c r="F27" s="39">
        <v>37983.629999999997</v>
      </c>
      <c r="G27" s="9">
        <f>35400+170079.69</f>
        <v>205479.69</v>
      </c>
      <c r="H27" s="9">
        <v>171925.01</v>
      </c>
      <c r="I27" s="9">
        <v>99602.74</v>
      </c>
      <c r="J27" s="9">
        <v>13436.5</v>
      </c>
      <c r="K27" s="9">
        <v>588845.5</v>
      </c>
      <c r="L27" s="13">
        <v>143348.46</v>
      </c>
      <c r="M27" s="9">
        <v>238949.87</v>
      </c>
      <c r="N27" s="9">
        <v>260780.17</v>
      </c>
      <c r="O27" s="13">
        <f>299200.48</f>
        <v>299200.48</v>
      </c>
      <c r="P27" s="13"/>
      <c r="Q27" s="13"/>
      <c r="R27" s="15">
        <f t="shared" si="0"/>
        <v>2059552.0499999998</v>
      </c>
    </row>
    <row r="28" spans="1:18" s="17" customFormat="1" ht="20.25" customHeight="1" x14ac:dyDescent="0.25">
      <c r="C28" s="16" t="s">
        <v>17</v>
      </c>
      <c r="D28" s="21">
        <f>+D29+D30+D31+D32+D33+D35+D37</f>
        <v>4469882</v>
      </c>
      <c r="E28" s="21"/>
      <c r="F28" s="49">
        <f>+F31+F37</f>
        <v>76423.960000000006</v>
      </c>
      <c r="G28" s="18">
        <f>+G29+G31+G37</f>
        <v>256858.16</v>
      </c>
      <c r="H28" s="18">
        <f>+H29+H33+H37</f>
        <v>72854</v>
      </c>
      <c r="I28" s="18">
        <f>+I29+I30+I31+I32+I33+I34+I35+I36+I37</f>
        <v>145734</v>
      </c>
      <c r="J28" s="19">
        <f>+J29+J30+J31+J32+J33+J34+J35+J37</f>
        <v>671202.85</v>
      </c>
      <c r="K28" s="18">
        <f>+K29+K30+K31+K32+K33+K34+K35+K36+K37</f>
        <v>275650.71999999997</v>
      </c>
      <c r="L28" s="18">
        <f>+L29+L30+L31+L35+L37+L34</f>
        <v>488538.22000000003</v>
      </c>
      <c r="M28" s="18">
        <f>+M29+M31+M33+M34+M35+M37</f>
        <v>632378.15</v>
      </c>
      <c r="N28" s="18">
        <f>+N29+N31+N33+N34+N37</f>
        <v>185818.05</v>
      </c>
      <c r="O28" s="20">
        <f>+O29+O31+O33+O35+O37</f>
        <v>816307.23</v>
      </c>
      <c r="P28" s="18"/>
      <c r="Q28" s="20"/>
      <c r="R28" s="15">
        <f t="shared" si="0"/>
        <v>3621765.34</v>
      </c>
    </row>
    <row r="29" spans="1:18" ht="18.75" customHeight="1" x14ac:dyDescent="0.25">
      <c r="C29" s="5" t="s">
        <v>18</v>
      </c>
      <c r="D29" s="22">
        <f>501050+80000</f>
        <v>581050</v>
      </c>
      <c r="E29" s="22"/>
      <c r="G29" s="9">
        <v>23600</v>
      </c>
      <c r="H29" s="9">
        <v>20819</v>
      </c>
      <c r="I29" s="9">
        <v>63991.31</v>
      </c>
      <c r="J29" s="9">
        <v>30078.22</v>
      </c>
      <c r="K29" s="9">
        <v>5843.66</v>
      </c>
      <c r="L29" s="13">
        <v>51665.5</v>
      </c>
      <c r="M29" s="9">
        <v>7141.44</v>
      </c>
      <c r="N29" s="9">
        <v>14895.76</v>
      </c>
      <c r="O29" s="9">
        <v>35281.89</v>
      </c>
      <c r="P29" s="13"/>
      <c r="Q29" s="13"/>
      <c r="R29" s="15">
        <f t="shared" si="0"/>
        <v>253316.78000000003</v>
      </c>
    </row>
    <row r="30" spans="1:18" x14ac:dyDescent="0.25">
      <c r="C30" s="5" t="s">
        <v>19</v>
      </c>
      <c r="D30" s="22">
        <f>14000+100000</f>
        <v>114000</v>
      </c>
      <c r="E30" s="22"/>
      <c r="G30" s="9"/>
      <c r="H30" s="9"/>
      <c r="I30" s="9"/>
      <c r="J30" s="13"/>
      <c r="K30" s="9"/>
      <c r="L30" s="13">
        <v>32398.080000000002</v>
      </c>
      <c r="M30" s="9"/>
      <c r="N30" s="13"/>
      <c r="O30" s="13"/>
      <c r="P30" s="13"/>
      <c r="Q30" s="13"/>
      <c r="R30" s="15">
        <f t="shared" si="0"/>
        <v>32398.080000000002</v>
      </c>
    </row>
    <row r="31" spans="1:18" x14ac:dyDescent="0.25">
      <c r="C31" s="5" t="s">
        <v>20</v>
      </c>
      <c r="D31" s="22">
        <f>80800+86600+561980+18000</f>
        <v>747380</v>
      </c>
      <c r="E31" s="22"/>
      <c r="F31" s="50">
        <v>6900</v>
      </c>
      <c r="G31" s="9">
        <v>134638</v>
      </c>
      <c r="H31" s="9"/>
      <c r="I31" s="9">
        <v>39122</v>
      </c>
      <c r="J31" s="9">
        <v>9240.9</v>
      </c>
      <c r="K31" s="9">
        <v>3945</v>
      </c>
      <c r="L31" s="13">
        <f>32686+7670</f>
        <v>40356</v>
      </c>
      <c r="M31" s="9">
        <v>85859.66</v>
      </c>
      <c r="N31" s="13">
        <v>725</v>
      </c>
      <c r="O31" s="9">
        <v>92040</v>
      </c>
      <c r="P31" s="13"/>
      <c r="Q31" s="13"/>
      <c r="R31" s="15">
        <f t="shared" si="0"/>
        <v>412826.56</v>
      </c>
    </row>
    <row r="32" spans="1:18" x14ac:dyDescent="0.25">
      <c r="C32" s="5" t="s">
        <v>21</v>
      </c>
      <c r="D32" s="22">
        <v>6000</v>
      </c>
      <c r="E32" s="22"/>
      <c r="G32" s="9"/>
      <c r="H32" s="9"/>
      <c r="I32" s="9"/>
      <c r="J32" s="9">
        <v>1475</v>
      </c>
      <c r="K32" s="9"/>
      <c r="L32" s="13"/>
      <c r="N32" s="13"/>
      <c r="R32" s="2">
        <f t="shared" si="0"/>
        <v>1475</v>
      </c>
    </row>
    <row r="33" spans="1:18" x14ac:dyDescent="0.25">
      <c r="C33" s="5" t="s">
        <v>22</v>
      </c>
      <c r="D33" s="22">
        <f>100000+27500</f>
        <v>127500</v>
      </c>
      <c r="E33" s="22"/>
      <c r="G33" s="9"/>
      <c r="H33" s="9">
        <v>1658</v>
      </c>
      <c r="I33" s="9">
        <v>19285.95</v>
      </c>
      <c r="J33" s="9"/>
      <c r="K33" s="9">
        <v>51643</v>
      </c>
      <c r="L33" s="13"/>
      <c r="M33" s="9">
        <v>7192.1</v>
      </c>
      <c r="N33" s="9">
        <v>1457.24</v>
      </c>
      <c r="O33" s="9">
        <v>17983.490000000002</v>
      </c>
      <c r="P33" s="9"/>
      <c r="Q33" s="13"/>
      <c r="R33" s="15">
        <f t="shared" si="0"/>
        <v>99219.780000000013</v>
      </c>
    </row>
    <row r="34" spans="1:18" ht="17.25" customHeight="1" x14ac:dyDescent="0.25">
      <c r="C34" s="5" t="s">
        <v>98</v>
      </c>
      <c r="D34" s="6"/>
      <c r="E34" s="6"/>
      <c r="G34" s="9"/>
      <c r="H34" s="9"/>
      <c r="I34" s="9">
        <v>998</v>
      </c>
      <c r="J34" s="9">
        <v>259</v>
      </c>
      <c r="K34" s="9">
        <v>2867.06</v>
      </c>
      <c r="L34" s="13">
        <v>13791</v>
      </c>
      <c r="M34" s="9">
        <v>10295</v>
      </c>
      <c r="N34" s="13">
        <v>2349.0300000000002</v>
      </c>
      <c r="P34" s="13"/>
      <c r="R34" s="15">
        <f t="shared" si="0"/>
        <v>30559.089999999997</v>
      </c>
    </row>
    <row r="35" spans="1:18" ht="14.25" customHeight="1" x14ac:dyDescent="0.25">
      <c r="C35" s="5" t="s">
        <v>23</v>
      </c>
      <c r="D35" s="22">
        <f>2514000+40000+25000</f>
        <v>2579000</v>
      </c>
      <c r="E35" s="22"/>
      <c r="G35" s="9"/>
      <c r="H35" s="9"/>
      <c r="I35" s="9">
        <v>1376</v>
      </c>
      <c r="J35" s="9">
        <v>585462.4</v>
      </c>
      <c r="K35" s="9">
        <v>195000</v>
      </c>
      <c r="L35" s="9">
        <v>195000</v>
      </c>
      <c r="M35" s="9">
        <v>390000</v>
      </c>
      <c r="N35" s="13"/>
      <c r="O35" s="9">
        <v>585000</v>
      </c>
      <c r="P35" s="9"/>
      <c r="Q35" s="9"/>
      <c r="R35" s="15">
        <f t="shared" si="0"/>
        <v>1951838.4</v>
      </c>
    </row>
    <row r="36" spans="1:18" ht="15.75" customHeight="1" x14ac:dyDescent="0.25">
      <c r="C36" s="5" t="s">
        <v>24</v>
      </c>
      <c r="D36" s="6"/>
      <c r="E36" s="6"/>
      <c r="G36" s="9"/>
      <c r="H36" s="9"/>
      <c r="I36" s="9"/>
      <c r="J36" s="9"/>
      <c r="K36" s="9"/>
      <c r="R36" s="2">
        <f t="shared" si="0"/>
        <v>0</v>
      </c>
    </row>
    <row r="37" spans="1:18" x14ac:dyDescent="0.25">
      <c r="A37">
        <v>7734</v>
      </c>
      <c r="C37" s="5" t="s">
        <v>25</v>
      </c>
      <c r="D37" s="22">
        <f>95000+105952+40000+24000+50000</f>
        <v>314952</v>
      </c>
      <c r="E37" s="22"/>
      <c r="F37" s="50">
        <v>69523.960000000006</v>
      </c>
      <c r="G37" s="13">
        <v>98620.160000000003</v>
      </c>
      <c r="H37" s="9">
        <v>50377</v>
      </c>
      <c r="I37" s="9">
        <v>20960.740000000002</v>
      </c>
      <c r="J37" s="9">
        <v>44687.33</v>
      </c>
      <c r="K37" s="9">
        <v>16352</v>
      </c>
      <c r="L37" s="13">
        <v>155327.64000000001</v>
      </c>
      <c r="M37" s="13">
        <v>131889.95000000001</v>
      </c>
      <c r="N37" s="51">
        <v>166391.01999999999</v>
      </c>
      <c r="O37" s="13">
        <v>86001.85</v>
      </c>
      <c r="P37" s="13"/>
      <c r="Q37" s="13"/>
      <c r="R37" s="15">
        <f t="shared" si="0"/>
        <v>840131.65</v>
      </c>
    </row>
    <row r="38" spans="1:18" ht="13.5" customHeight="1" x14ac:dyDescent="0.25">
      <c r="C38" s="3" t="s">
        <v>26</v>
      </c>
      <c r="D38" s="4"/>
      <c r="E38" s="4"/>
      <c r="K38" s="9"/>
      <c r="R38" s="2">
        <f t="shared" si="0"/>
        <v>0</v>
      </c>
    </row>
    <row r="39" spans="1:18" ht="15" customHeight="1" x14ac:dyDescent="0.25">
      <c r="C39" s="5" t="s">
        <v>27</v>
      </c>
      <c r="D39" s="6"/>
      <c r="E39" s="6"/>
      <c r="R39" s="2">
        <f t="shared" si="0"/>
        <v>0</v>
      </c>
    </row>
    <row r="40" spans="1:18" ht="17.25" customHeight="1" x14ac:dyDescent="0.25">
      <c r="C40" s="5" t="s">
        <v>28</v>
      </c>
      <c r="D40" s="6"/>
      <c r="E40" s="6"/>
      <c r="R40" s="2">
        <f t="shared" si="0"/>
        <v>0</v>
      </c>
    </row>
    <row r="41" spans="1:18" ht="14.25" customHeight="1" x14ac:dyDescent="0.25">
      <c r="C41" s="5" t="s">
        <v>29</v>
      </c>
      <c r="D41" s="6"/>
      <c r="E41" s="6"/>
      <c r="R41" s="2">
        <f t="shared" si="0"/>
        <v>0</v>
      </c>
    </row>
    <row r="42" spans="1:18" ht="13.5" customHeight="1" x14ac:dyDescent="0.25">
      <c r="C42" s="5" t="s">
        <v>30</v>
      </c>
      <c r="D42" s="6"/>
      <c r="E42" s="6"/>
      <c r="R42" s="2">
        <f t="shared" si="0"/>
        <v>0</v>
      </c>
    </row>
    <row r="43" spans="1:18" ht="14.25" customHeight="1" x14ac:dyDescent="0.25">
      <c r="C43" s="5" t="s">
        <v>31</v>
      </c>
      <c r="D43" s="6"/>
      <c r="E43" s="6"/>
      <c r="R43" s="2">
        <f t="shared" si="0"/>
        <v>0</v>
      </c>
    </row>
    <row r="44" spans="1:18" ht="13.5" customHeight="1" x14ac:dyDescent="0.25">
      <c r="C44" s="5" t="s">
        <v>32</v>
      </c>
      <c r="D44" s="6"/>
      <c r="E44" s="6"/>
      <c r="R44" s="2">
        <f t="shared" si="0"/>
        <v>0</v>
      </c>
    </row>
    <row r="45" spans="1:18" ht="15" customHeight="1" x14ac:dyDescent="0.25">
      <c r="C45" s="5" t="s">
        <v>33</v>
      </c>
      <c r="D45" s="6"/>
      <c r="E45" s="6"/>
      <c r="R45" s="2">
        <f t="shared" si="0"/>
        <v>0</v>
      </c>
    </row>
    <row r="46" spans="1:18" ht="13.5" customHeight="1" x14ac:dyDescent="0.25">
      <c r="C46" s="5" t="s">
        <v>34</v>
      </c>
      <c r="D46" s="6"/>
      <c r="E46" s="6"/>
      <c r="Q46" s="48"/>
      <c r="R46" s="2">
        <f t="shared" si="0"/>
        <v>0</v>
      </c>
    </row>
    <row r="47" spans="1:18" ht="15.75" customHeight="1" x14ac:dyDescent="0.25">
      <c r="C47" s="3" t="s">
        <v>35</v>
      </c>
      <c r="D47" s="4"/>
      <c r="E47" s="4"/>
      <c r="R47" s="2">
        <f t="shared" si="0"/>
        <v>0</v>
      </c>
    </row>
    <row r="48" spans="1:18" ht="15.75" customHeight="1" x14ac:dyDescent="0.25">
      <c r="C48" s="5" t="s">
        <v>36</v>
      </c>
      <c r="D48" s="6"/>
      <c r="E48" s="6"/>
      <c r="R48" s="2">
        <f t="shared" si="0"/>
        <v>0</v>
      </c>
    </row>
    <row r="49" spans="3:18" ht="17.25" customHeight="1" x14ac:dyDescent="0.25">
      <c r="C49" s="5" t="s">
        <v>37</v>
      </c>
      <c r="D49" s="6"/>
      <c r="E49" s="6"/>
      <c r="R49" s="2">
        <f t="shared" si="0"/>
        <v>0</v>
      </c>
    </row>
    <row r="50" spans="3:18" ht="15" customHeight="1" x14ac:dyDescent="0.25">
      <c r="C50" s="5" t="s">
        <v>38</v>
      </c>
      <c r="D50" s="6"/>
      <c r="E50" s="6"/>
      <c r="R50" s="2">
        <f t="shared" si="0"/>
        <v>0</v>
      </c>
    </row>
    <row r="51" spans="3:18" ht="12" customHeight="1" x14ac:dyDescent="0.25">
      <c r="C51" s="5" t="s">
        <v>39</v>
      </c>
      <c r="D51" s="6"/>
      <c r="E51" s="6"/>
      <c r="R51" s="2">
        <f t="shared" si="0"/>
        <v>0</v>
      </c>
    </row>
    <row r="52" spans="3:18" ht="15" customHeight="1" x14ac:dyDescent="0.25">
      <c r="C52" s="5" t="s">
        <v>40</v>
      </c>
      <c r="D52" s="6"/>
      <c r="E52" s="6"/>
      <c r="R52" s="2">
        <f t="shared" si="0"/>
        <v>0</v>
      </c>
    </row>
    <row r="53" spans="3:18" ht="15" customHeight="1" x14ac:dyDescent="0.25">
      <c r="C53" s="5" t="s">
        <v>41</v>
      </c>
      <c r="D53" s="6"/>
      <c r="E53" s="6"/>
      <c r="R53" s="2">
        <f t="shared" si="0"/>
        <v>0</v>
      </c>
    </row>
    <row r="54" spans="3:18" ht="21" customHeight="1" x14ac:dyDescent="0.25">
      <c r="C54" s="3" t="s">
        <v>42</v>
      </c>
      <c r="D54" s="23">
        <f>+D55</f>
        <v>975000</v>
      </c>
      <c r="E54" s="23"/>
      <c r="H54" s="14"/>
      <c r="I54" s="20">
        <f>+I55+I60</f>
        <v>270875.14</v>
      </c>
      <c r="J54" s="10"/>
      <c r="K54" s="14">
        <f>+K55</f>
        <v>222873.28</v>
      </c>
      <c r="L54" s="18">
        <f>+L55</f>
        <v>28749.17</v>
      </c>
      <c r="N54" s="14"/>
      <c r="O54" s="13"/>
      <c r="P54" s="20"/>
      <c r="Q54" s="14"/>
      <c r="R54" s="15">
        <f t="shared" si="0"/>
        <v>522497.59</v>
      </c>
    </row>
    <row r="55" spans="3:18" ht="18.75" customHeight="1" x14ac:dyDescent="0.25">
      <c r="C55" s="5" t="s">
        <v>43</v>
      </c>
      <c r="D55" s="22">
        <v>975000</v>
      </c>
      <c r="E55" s="22"/>
      <c r="H55" s="13"/>
      <c r="I55" s="13">
        <v>141127.06</v>
      </c>
      <c r="J55" s="9"/>
      <c r="K55" s="13">
        <v>222873.28</v>
      </c>
      <c r="L55" s="13">
        <v>28749.17</v>
      </c>
      <c r="N55" s="13"/>
      <c r="O55" s="13"/>
      <c r="P55" s="13"/>
      <c r="Q55" s="13"/>
      <c r="R55" s="15">
        <f t="shared" si="0"/>
        <v>392749.50999999995</v>
      </c>
    </row>
    <row r="56" spans="3:18" ht="14.25" customHeight="1" x14ac:dyDescent="0.25">
      <c r="C56" s="5" t="s">
        <v>44</v>
      </c>
      <c r="D56" s="6"/>
      <c r="E56" s="6"/>
      <c r="Q56" s="13"/>
      <c r="R56" s="2">
        <f t="shared" si="0"/>
        <v>0</v>
      </c>
    </row>
    <row r="57" spans="3:18" ht="17.25" customHeight="1" x14ac:dyDescent="0.25">
      <c r="C57" s="5" t="s">
        <v>45</v>
      </c>
      <c r="D57" s="6"/>
      <c r="E57" s="6"/>
      <c r="R57" s="2">
        <f t="shared" si="0"/>
        <v>0</v>
      </c>
    </row>
    <row r="58" spans="3:18" x14ac:dyDescent="0.25">
      <c r="C58" s="5" t="s">
        <v>46</v>
      </c>
      <c r="D58" s="6"/>
      <c r="E58" s="6"/>
      <c r="P58" s="13"/>
      <c r="R58" s="2">
        <f t="shared" si="0"/>
        <v>0</v>
      </c>
    </row>
    <row r="59" spans="3:18" x14ac:dyDescent="0.25">
      <c r="C59" s="5" t="s">
        <v>47</v>
      </c>
      <c r="D59" s="22"/>
      <c r="E59" s="22"/>
      <c r="P59" s="13"/>
      <c r="Q59" s="13"/>
      <c r="R59" s="15">
        <f t="shared" si="0"/>
        <v>0</v>
      </c>
    </row>
    <row r="60" spans="3:18" x14ac:dyDescent="0.25">
      <c r="C60" s="5" t="s">
        <v>48</v>
      </c>
      <c r="D60" s="6"/>
      <c r="E60" s="6"/>
      <c r="I60">
        <v>129748.08</v>
      </c>
      <c r="Q60" s="13"/>
      <c r="R60" s="15">
        <f t="shared" si="0"/>
        <v>129748.08</v>
      </c>
    </row>
    <row r="61" spans="3:18" x14ac:dyDescent="0.25">
      <c r="C61" s="5" t="s">
        <v>49</v>
      </c>
      <c r="D61" s="6"/>
      <c r="E61" s="6"/>
      <c r="R61" s="2">
        <f t="shared" si="0"/>
        <v>0</v>
      </c>
    </row>
    <row r="62" spans="3:18" x14ac:dyDescent="0.25">
      <c r="C62" s="5" t="s">
        <v>50</v>
      </c>
      <c r="D62" s="6"/>
      <c r="E62" s="6"/>
      <c r="L62" s="13"/>
      <c r="R62" s="15">
        <f t="shared" si="0"/>
        <v>0</v>
      </c>
    </row>
    <row r="63" spans="3:18" ht="15" customHeight="1" x14ac:dyDescent="0.25">
      <c r="C63" s="5" t="s">
        <v>51</v>
      </c>
      <c r="D63" s="6"/>
      <c r="E63" s="6"/>
      <c r="R63" s="2">
        <f t="shared" si="0"/>
        <v>0</v>
      </c>
    </row>
    <row r="64" spans="3:18" ht="21" customHeight="1" x14ac:dyDescent="0.25">
      <c r="C64" s="3" t="s">
        <v>52</v>
      </c>
      <c r="D64" s="4"/>
      <c r="E64" s="4"/>
      <c r="R64" s="2">
        <f t="shared" si="0"/>
        <v>0</v>
      </c>
    </row>
    <row r="65" spans="3:18" ht="15" customHeight="1" x14ac:dyDescent="0.25">
      <c r="C65" s="5" t="s">
        <v>53</v>
      </c>
      <c r="D65" s="6"/>
      <c r="E65" s="6"/>
      <c r="R65" s="2">
        <f t="shared" si="0"/>
        <v>0</v>
      </c>
    </row>
    <row r="66" spans="3:18" x14ac:dyDescent="0.25">
      <c r="C66" s="5" t="s">
        <v>54</v>
      </c>
      <c r="D66" s="6"/>
      <c r="E66" s="6"/>
      <c r="R66" s="2">
        <f t="shared" si="0"/>
        <v>0</v>
      </c>
    </row>
    <row r="67" spans="3:18" x14ac:dyDescent="0.25">
      <c r="C67" s="5" t="s">
        <v>55</v>
      </c>
      <c r="D67" s="6"/>
      <c r="E67" s="6"/>
      <c r="R67" s="2">
        <f t="shared" si="0"/>
        <v>0</v>
      </c>
    </row>
    <row r="68" spans="3:18" x14ac:dyDescent="0.25">
      <c r="C68" s="5" t="s">
        <v>56</v>
      </c>
      <c r="D68" s="6"/>
      <c r="E68" s="6"/>
      <c r="R68" s="2">
        <f t="shared" si="0"/>
        <v>0</v>
      </c>
    </row>
    <row r="69" spans="3:18" ht="16.5" customHeight="1" x14ac:dyDescent="0.25">
      <c r="C69" s="3" t="s">
        <v>57</v>
      </c>
      <c r="D69" s="4"/>
      <c r="E69" s="4"/>
      <c r="R69" s="2">
        <f t="shared" si="0"/>
        <v>0</v>
      </c>
    </row>
    <row r="70" spans="3:18" ht="15.75" customHeight="1" x14ac:dyDescent="0.25">
      <c r="C70" s="5" t="s">
        <v>58</v>
      </c>
      <c r="D70" s="6"/>
      <c r="E70" s="6"/>
      <c r="R70" s="2">
        <f t="shared" si="0"/>
        <v>0</v>
      </c>
    </row>
    <row r="71" spans="3:18" x14ac:dyDescent="0.25">
      <c r="C71" s="5" t="s">
        <v>59</v>
      </c>
      <c r="D71" s="6"/>
      <c r="E71" s="6"/>
      <c r="R71" s="2">
        <f t="shared" si="0"/>
        <v>0</v>
      </c>
    </row>
    <row r="72" spans="3:18" ht="21" customHeight="1" x14ac:dyDescent="0.25">
      <c r="C72" s="3" t="s">
        <v>60</v>
      </c>
      <c r="D72" s="4"/>
      <c r="E72" s="4"/>
      <c r="R72" s="2">
        <f t="shared" si="0"/>
        <v>0</v>
      </c>
    </row>
    <row r="73" spans="3:18" ht="18.75" customHeight="1" x14ac:dyDescent="0.25">
      <c r="C73" s="5" t="s">
        <v>61</v>
      </c>
      <c r="D73" s="6"/>
      <c r="E73" s="6"/>
      <c r="R73" s="2">
        <f t="shared" si="0"/>
        <v>0</v>
      </c>
    </row>
    <row r="74" spans="3:18" x14ac:dyDescent="0.25">
      <c r="C74" s="5" t="s">
        <v>62</v>
      </c>
      <c r="D74" s="6"/>
      <c r="E74" s="6"/>
      <c r="R74" s="2">
        <f>+F74+G74+H74+I74+J74+K74+L74+M74+N74+O74+P74+Q74</f>
        <v>0</v>
      </c>
    </row>
    <row r="75" spans="3:18" x14ac:dyDescent="0.25">
      <c r="C75" s="5" t="s">
        <v>63</v>
      </c>
      <c r="D75" s="6"/>
      <c r="E75" s="6"/>
      <c r="R75" s="2">
        <f t="shared" si="0"/>
        <v>0</v>
      </c>
    </row>
    <row r="76" spans="3:18" ht="21" customHeight="1" x14ac:dyDescent="0.25">
      <c r="C76" s="1" t="s">
        <v>66</v>
      </c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ref="R76:R84" si="1">+F76+G76+H76+I76+J76+K76+L76+M76+N76+O76+P76+Q76</f>
        <v>0</v>
      </c>
    </row>
    <row r="77" spans="3:18" ht="18.75" customHeight="1" x14ac:dyDescent="0.25">
      <c r="C77" s="3" t="s">
        <v>67</v>
      </c>
      <c r="D77" s="4"/>
      <c r="E77" s="4"/>
      <c r="R77" s="2">
        <f t="shared" si="1"/>
        <v>0</v>
      </c>
    </row>
    <row r="78" spans="3:18" ht="18.75" customHeight="1" x14ac:dyDescent="0.25">
      <c r="C78" s="5" t="s">
        <v>68</v>
      </c>
      <c r="D78" s="6"/>
      <c r="E78" s="6"/>
      <c r="R78" s="2">
        <f t="shared" si="1"/>
        <v>0</v>
      </c>
    </row>
    <row r="79" spans="3:18" x14ac:dyDescent="0.25">
      <c r="C79" s="5" t="s">
        <v>69</v>
      </c>
      <c r="D79" s="6"/>
      <c r="E79" s="6"/>
      <c r="R79" s="2">
        <f t="shared" si="1"/>
        <v>0</v>
      </c>
    </row>
    <row r="80" spans="3:18" ht="21" customHeight="1" x14ac:dyDescent="0.25">
      <c r="C80" s="3" t="s">
        <v>70</v>
      </c>
      <c r="D80" s="4"/>
      <c r="E80" s="4"/>
      <c r="R80" s="2">
        <f t="shared" si="1"/>
        <v>0</v>
      </c>
    </row>
    <row r="81" spans="3:18" ht="15" customHeight="1" x14ac:dyDescent="0.25">
      <c r="C81" s="5" t="s">
        <v>71</v>
      </c>
      <c r="D81" s="6"/>
      <c r="E81" s="6"/>
      <c r="R81" s="2">
        <f t="shared" si="1"/>
        <v>0</v>
      </c>
    </row>
    <row r="82" spans="3:18" x14ac:dyDescent="0.25">
      <c r="C82" s="5" t="s">
        <v>72</v>
      </c>
      <c r="D82" s="6"/>
      <c r="E82" s="6"/>
      <c r="R82" s="2">
        <f t="shared" si="1"/>
        <v>0</v>
      </c>
    </row>
    <row r="83" spans="3:18" ht="21" customHeight="1" x14ac:dyDescent="0.25">
      <c r="C83" s="3" t="s">
        <v>73</v>
      </c>
      <c r="D83" s="4"/>
      <c r="E83" s="4"/>
      <c r="R83" s="2">
        <f t="shared" si="1"/>
        <v>0</v>
      </c>
    </row>
    <row r="84" spans="3:18" ht="18.75" customHeight="1" x14ac:dyDescent="0.25">
      <c r="C84" s="5" t="s">
        <v>74</v>
      </c>
      <c r="D84" s="6"/>
      <c r="E84" s="6"/>
      <c r="R84" s="2">
        <f t="shared" si="1"/>
        <v>0</v>
      </c>
    </row>
    <row r="85" spans="3:18" s="17" customFormat="1" ht="22.5" customHeight="1" x14ac:dyDescent="0.3">
      <c r="C85" s="30" t="s">
        <v>64</v>
      </c>
      <c r="D85" s="31">
        <f>+D54+D28+D18+D12</f>
        <v>102701379</v>
      </c>
      <c r="E85" s="32">
        <f>+E12+E18+E28+E54</f>
        <v>0</v>
      </c>
      <c r="F85" s="43">
        <f>+F12+F18+F28</f>
        <v>5275880.47</v>
      </c>
      <c r="G85" s="31">
        <f>+G12+G18+G28</f>
        <v>5257787.32</v>
      </c>
      <c r="H85" s="31">
        <f>+H12+H18+H28+H54</f>
        <v>5256635.38</v>
      </c>
      <c r="I85" s="31">
        <f>+I12+I18+I28+I54</f>
        <v>9045675.7800000012</v>
      </c>
      <c r="J85" s="31">
        <f>+J54+J28+J18+J12</f>
        <v>6645126.3300000001</v>
      </c>
      <c r="K85" s="31">
        <f>+K54+K28+K18+K12</f>
        <v>8092059.2899999991</v>
      </c>
      <c r="L85" s="31">
        <f>+L54+L28+L18+L12</f>
        <v>6270588.1100000003</v>
      </c>
      <c r="M85" s="31">
        <f>+M12+M18+M28</f>
        <v>6004171.8000000007</v>
      </c>
      <c r="N85" s="32">
        <f>+N12+N18+N28</f>
        <v>5980262.4500000002</v>
      </c>
      <c r="O85" s="31">
        <f>+O12+O18+O28</f>
        <v>9285407.7100000009</v>
      </c>
      <c r="P85" s="31">
        <f>+P12+P18+P28+P54</f>
        <v>0</v>
      </c>
      <c r="Q85" s="31">
        <f>+Q12+Q18+Q28+Q54</f>
        <v>0</v>
      </c>
      <c r="R85" s="33">
        <f>+F85+G85+H85+I85+J85+K85+L85+M85+N85+O85+P85+Q85</f>
        <v>67113594.640000015</v>
      </c>
    </row>
    <row r="87" spans="3:18" x14ac:dyDescent="0.25">
      <c r="C87" t="s">
        <v>93</v>
      </c>
    </row>
    <row r="93" spans="3:18" ht="15.75" thickBot="1" x14ac:dyDescent="0.3"/>
    <row r="94" spans="3:18" ht="15.75" thickTop="1" x14ac:dyDescent="0.25">
      <c r="H94" s="53" t="s">
        <v>95</v>
      </c>
      <c r="I94" s="53"/>
      <c r="J94" s="53"/>
      <c r="K94" s="53"/>
    </row>
    <row r="95" spans="3:18" x14ac:dyDescent="0.25">
      <c r="H95" s="54" t="s">
        <v>96</v>
      </c>
      <c r="I95" s="54"/>
      <c r="J95" s="54"/>
      <c r="K95" s="54"/>
    </row>
  </sheetData>
  <mergeCells count="11">
    <mergeCell ref="H94:K94"/>
    <mergeCell ref="H95:K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85" orientation="landscape" r:id="rId1"/>
  <rowBreaks count="2" manualBreakCount="2">
    <brk id="53" max="16383" man="1"/>
    <brk id="8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7816-3A31-4F27-935C-C67F07AF6E89}">
  <dimension ref="G9:N16"/>
  <sheetViews>
    <sheetView workbookViewId="0">
      <selection activeCell="L22" sqref="L22"/>
    </sheetView>
  </sheetViews>
  <sheetFormatPr baseColWidth="10" defaultRowHeight="15" x14ac:dyDescent="0.25"/>
  <cols>
    <col min="9" max="9" width="11.7109375" bestFit="1" customWidth="1"/>
    <col min="14" max="14" width="11.7109375" bestFit="1" customWidth="1"/>
  </cols>
  <sheetData>
    <row r="9" spans="7:14" x14ac:dyDescent="0.25">
      <c r="I9" s="13">
        <v>1370458.51</v>
      </c>
      <c r="K9">
        <v>3900</v>
      </c>
    </row>
    <row r="10" spans="7:14" x14ac:dyDescent="0.25">
      <c r="I10" s="13">
        <v>834462.67</v>
      </c>
      <c r="K10">
        <v>27288</v>
      </c>
      <c r="N10" s="13">
        <v>554769.19999999995</v>
      </c>
    </row>
    <row r="11" spans="7:14" x14ac:dyDescent="0.25">
      <c r="I11" s="13">
        <f>+I9-I10</f>
        <v>535995.84</v>
      </c>
      <c r="K11">
        <f>SUM(K9:K10)</f>
        <v>31188</v>
      </c>
      <c r="N11" s="13">
        <v>118613.6</v>
      </c>
    </row>
    <row r="12" spans="7:14" x14ac:dyDescent="0.25">
      <c r="G12" s="13">
        <v>536664</v>
      </c>
      <c r="N12" s="13">
        <v>30307.5</v>
      </c>
    </row>
    <row r="13" spans="7:14" x14ac:dyDescent="0.25">
      <c r="G13" s="13">
        <v>491485.06</v>
      </c>
      <c r="N13" s="13">
        <v>353028.78</v>
      </c>
    </row>
    <row r="14" spans="7:14" x14ac:dyDescent="0.25">
      <c r="N14" s="13">
        <v>45178.94</v>
      </c>
    </row>
    <row r="15" spans="7:14" x14ac:dyDescent="0.25">
      <c r="N15" s="13">
        <v>31188</v>
      </c>
    </row>
    <row r="16" spans="7:14" x14ac:dyDescent="0.25">
      <c r="N16" s="13">
        <f>+N10+N11+N12+N13+N14+N15</f>
        <v>1133086.02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 </vt:lpstr>
      <vt:lpstr>Hoja1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 Comision De Defensa Comercial TI</cp:lastModifiedBy>
  <cp:lastPrinted>2025-04-14T14:34:12Z</cp:lastPrinted>
  <dcterms:created xsi:type="dcterms:W3CDTF">2021-07-29T18:58:50Z</dcterms:created>
  <dcterms:modified xsi:type="dcterms:W3CDTF">2025-11-17T16:18:49Z</dcterms:modified>
</cp:coreProperties>
</file>