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7671ff2e720325b/Desktop/NO CONFIDENCIAL/C7.Analisis Dano/"/>
    </mc:Choice>
  </mc:AlternateContent>
  <xr:revisionPtr revIDLastSave="3" documentId="14_{962249CA-DF3A-4F4A-AFB3-6B966ACA2F76}" xr6:coauthVersionLast="47" xr6:coauthVersionMax="47" xr10:uidLastSave="{8DEC8EFE-15D9-48BC-9F46-4BA65AED8E50}"/>
  <bookViews>
    <workbookView xWindow="-110" yWindow="-110" windowWidth="19420" windowHeight="11500" tabRatio="710" activeTab="3" xr2:uid="{FC2C2ED6-A0D1-4C26-A3E4-C2336541E908}"/>
  </bookViews>
  <sheets>
    <sheet name="Anexo 1" sheetId="12" r:id="rId1"/>
    <sheet name="Parametros 3 anos" sheetId="11" r:id="rId2"/>
    <sheet name="EBIT 1 ano" sheetId="15" r:id="rId3"/>
    <sheet name="Escenario A  3 anos" sheetId="16" r:id="rId4"/>
    <sheet name="Escanerio B" sheetId="17" r:id="rId5"/>
  </sheets>
  <externalReferences>
    <externalReference r:id="rId6"/>
    <externalReference r:id="rId7"/>
  </externalReferences>
  <definedNames>
    <definedName name="_xlnm._FilterDatabase" localSheetId="0" hidden="1">'Anexo 1'!$CS$148:$EP$355</definedName>
    <definedName name="_xlnm.Criteria" localSheetId="0">'Anexo 1'!$EP$148</definedName>
    <definedName name="Excel_BuiltIn__FilterDatabase_1">#REF!</definedName>
    <definedName name="Excel_BuiltIn__FilterDatabase_2" localSheetId="0">'Anexo 1'!#REF!</definedName>
    <definedName name="Excel_BuiltIn__FilterDatabase_2">'[1]Anexo 1 (A)'!#REF!</definedName>
    <definedName name="Excel_BuiltIn__FilterDatabase_3">#REF!</definedName>
    <definedName name="Excel_BuiltIn__FilterDatabase_4">#REF!</definedName>
    <definedName name="Excel_BuiltIn_Criteria_1">#REF!</definedName>
    <definedName name="Excel_BuiltIn_Criteria_2" localSheetId="0">'Anexo 1'!#REF!</definedName>
    <definedName name="Excel_BuiltIn_Criteria_2">'[1]Anexo 1 (A)'!#REF!</definedName>
    <definedName name="Excel_BuiltIn_Criteria_3">#REF!</definedName>
    <definedName name="Excel_BuiltIn_Criteria_4">#REF!</definedName>
    <definedName name="Excel_BuiltIn_Extract_1">#REF!</definedName>
    <definedName name="Excel_BuiltIn_Extract_2" localSheetId="0">'Anexo 1'!#REF!</definedName>
    <definedName name="Excel_BuiltIn_Extract_2">'[1]Anexo 1 (A)'!#REF!</definedName>
    <definedName name="Excel_BuiltIn_Extract_3">#REF!</definedName>
    <definedName name="Excel_BuiltIn_Extract_4">#REF!</definedName>
    <definedName name="Excel_BuiltIn_Print_Area_1">#REF!</definedName>
    <definedName name="Excel_BuiltIn_Print_Area_2" localSheetId="0">'Anexo 1'!$B$1:$U$101</definedName>
    <definedName name="Excel_BuiltIn_Print_Area_3">#REF!</definedName>
    <definedName name="Excel_BuiltIn_Print_Area_4">#REF!</definedName>
    <definedName name="Excel_BuiltIn_Print_Titles_1">#REF!</definedName>
    <definedName name="Excel_BuiltIn_Print_Titles_2" localSheetId="0">'Anexo 1'!#REF!</definedName>
    <definedName name="Excel_BuiltIn_Print_Titles_2">'[1]Anexo 1 (A)'!#REF!</definedName>
    <definedName name="Excel_BuiltIn_Print_Titles_3">#REF!</definedName>
    <definedName name="Excel_BuiltIn_Print_Titles_4">#REF!</definedName>
    <definedName name="_xlnm.Print_Area" localSheetId="0">'Anexo 1'!$B$1:$P$101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17" l="1"/>
  <c r="H24" i="17"/>
  <c r="G47" i="16" l="1"/>
  <c r="H47" i="16"/>
  <c r="G48" i="16"/>
  <c r="H48" i="16"/>
  <c r="F48" i="16"/>
  <c r="F47" i="16"/>
  <c r="E45" i="16"/>
  <c r="E44" i="16"/>
  <c r="E26" i="16"/>
  <c r="E39" i="16"/>
  <c r="E38" i="16"/>
  <c r="E25" i="16"/>
  <c r="H96" i="11"/>
  <c r="G96" i="11"/>
  <c r="F96" i="11"/>
  <c r="E96" i="11"/>
  <c r="H95" i="11"/>
  <c r="G95" i="11"/>
  <c r="F95" i="11"/>
  <c r="E95" i="11"/>
  <c r="H94" i="11"/>
  <c r="G94" i="11"/>
  <c r="F94" i="11"/>
  <c r="E94" i="11"/>
  <c r="H93" i="11"/>
  <c r="G93" i="11"/>
  <c r="F93" i="11"/>
  <c r="E93" i="11"/>
  <c r="H91" i="11"/>
  <c r="G91" i="11"/>
  <c r="F91" i="11"/>
  <c r="E91" i="11"/>
  <c r="H90" i="11"/>
  <c r="G90" i="11"/>
  <c r="F90" i="11"/>
  <c r="E90" i="11"/>
  <c r="H89" i="11"/>
  <c r="G89" i="11"/>
  <c r="F89" i="11"/>
  <c r="E89" i="11"/>
  <c r="F60" i="11"/>
  <c r="G60" i="11"/>
  <c r="H60" i="11"/>
  <c r="E60" i="11"/>
  <c r="N18" i="16"/>
  <c r="L20" i="16"/>
  <c r="N31" i="16"/>
  <c r="N33" i="16"/>
  <c r="G44" i="16" l="1"/>
  <c r="F44" i="16"/>
  <c r="E46" i="16"/>
  <c r="H44" i="16"/>
  <c r="M31" i="16"/>
  <c r="L33" i="16"/>
  <c r="M33" i="16"/>
  <c r="L31" i="16"/>
  <c r="M18" i="16"/>
  <c r="L18" i="16"/>
  <c r="L19" i="16"/>
  <c r="L32" i="16" l="1"/>
  <c r="M20" i="16"/>
  <c r="J60" i="11"/>
  <c r="I60" i="11"/>
  <c r="M19" i="16"/>
  <c r="M32" i="16" l="1"/>
  <c r="L22" i="16"/>
  <c r="F26" i="16"/>
  <c r="M21" i="16"/>
  <c r="G25" i="16"/>
  <c r="L21" i="16"/>
  <c r="F25" i="16"/>
  <c r="N32" i="16"/>
  <c r="N19" i="16"/>
  <c r="N20" i="16"/>
  <c r="G26" i="16" l="1"/>
  <c r="M22" i="16"/>
  <c r="K60" i="11"/>
  <c r="N22" i="16" l="1"/>
  <c r="N21" i="16"/>
  <c r="H25" i="16"/>
  <c r="H26" i="16" l="1"/>
  <c r="C13" i="15"/>
  <c r="H11" i="15"/>
  <c r="H9" i="15"/>
  <c r="H10" i="15" l="1"/>
  <c r="H13" i="15"/>
  <c r="H12" i="15"/>
  <c r="G8" i="11" l="1"/>
  <c r="H8" i="11"/>
  <c r="F8" i="11"/>
  <c r="F21" i="11"/>
  <c r="G21" i="11"/>
  <c r="H21" i="11"/>
  <c r="E21" i="11"/>
  <c r="B21" i="11"/>
  <c r="F20" i="11"/>
  <c r="F6" i="11" s="1"/>
  <c r="G20" i="11"/>
  <c r="G5" i="11" s="1"/>
  <c r="H20" i="11"/>
  <c r="E20" i="11"/>
  <c r="E6" i="11" s="1"/>
  <c r="B20" i="11"/>
  <c r="E5" i="12"/>
  <c r="K6" i="12"/>
  <c r="L6" i="12"/>
  <c r="M6" i="12"/>
  <c r="N6" i="12"/>
  <c r="O6" i="12"/>
  <c r="N38" i="12" s="1"/>
  <c r="P38" i="12" s="1"/>
  <c r="P6" i="12"/>
  <c r="O38" i="12" s="1"/>
  <c r="E38" i="12"/>
  <c r="K73" i="12" s="1"/>
  <c r="F38" i="12"/>
  <c r="G38" i="12"/>
  <c r="M73" i="12" s="1"/>
  <c r="H38" i="12"/>
  <c r="N73" i="12" s="1"/>
  <c r="I38" i="12"/>
  <c r="O73" i="12" s="1"/>
  <c r="J38" i="12"/>
  <c r="K38" i="12"/>
  <c r="L38" i="12"/>
  <c r="M38" i="12"/>
  <c r="E39" i="12"/>
  <c r="F39" i="12"/>
  <c r="G39" i="12"/>
  <c r="H39" i="12"/>
  <c r="I39" i="12"/>
  <c r="J39" i="12"/>
  <c r="K39" i="12"/>
  <c r="L39" i="12"/>
  <c r="M39" i="12"/>
  <c r="N39" i="12"/>
  <c r="O39" i="12"/>
  <c r="P39" i="12"/>
  <c r="E40" i="12"/>
  <c r="F40" i="12"/>
  <c r="G40" i="12"/>
  <c r="H40" i="12"/>
  <c r="I40" i="12"/>
  <c r="J40" i="12"/>
  <c r="K40" i="12"/>
  <c r="L40" i="12"/>
  <c r="M40" i="12"/>
  <c r="N40" i="12"/>
  <c r="O40" i="12"/>
  <c r="E41" i="12"/>
  <c r="F41" i="12"/>
  <c r="G41" i="12"/>
  <c r="H41" i="12"/>
  <c r="I41" i="12"/>
  <c r="J41" i="12"/>
  <c r="K41" i="12"/>
  <c r="L41" i="12"/>
  <c r="M41" i="12"/>
  <c r="N41" i="12"/>
  <c r="O41" i="12"/>
  <c r="E42" i="12"/>
  <c r="F42" i="12"/>
  <c r="G42" i="12"/>
  <c r="H42" i="12"/>
  <c r="I42" i="12"/>
  <c r="J42" i="12" a="1"/>
  <c r="J42" i="12" s="1"/>
  <c r="K42" i="12" a="1"/>
  <c r="K42" i="12" s="1"/>
  <c r="L42" i="12" a="1"/>
  <c r="L42" i="12" s="1"/>
  <c r="M42" i="12" a="1"/>
  <c r="M42" i="12" s="1"/>
  <c r="N42" i="12" a="1"/>
  <c r="N42" i="12" s="1"/>
  <c r="O42" i="12" a="1"/>
  <c r="O42" i="12" s="1"/>
  <c r="C43" i="12"/>
  <c r="E43" i="12"/>
  <c r="F43" i="12"/>
  <c r="G43" i="12"/>
  <c r="H43" i="12"/>
  <c r="I43" i="12"/>
  <c r="J43" i="12"/>
  <c r="K43" i="12"/>
  <c r="L43" i="12"/>
  <c r="M43" i="12"/>
  <c r="N43" i="12"/>
  <c r="P43" i="12" s="1"/>
  <c r="O43" i="12"/>
  <c r="C44" i="12"/>
  <c r="E44" i="12"/>
  <c r="F44" i="12"/>
  <c r="G44" i="12"/>
  <c r="H44" i="12"/>
  <c r="I44" i="12"/>
  <c r="J44" i="12"/>
  <c r="K44" i="12"/>
  <c r="L44" i="12"/>
  <c r="M44" i="12"/>
  <c r="N44" i="12"/>
  <c r="O44" i="12"/>
  <c r="C45" i="12"/>
  <c r="E45" i="12"/>
  <c r="F45" i="12"/>
  <c r="G45" i="12"/>
  <c r="H45" i="12"/>
  <c r="I45" i="12"/>
  <c r="J45" i="12"/>
  <c r="K45" i="12"/>
  <c r="L45" i="12"/>
  <c r="M45" i="12"/>
  <c r="N45" i="12"/>
  <c r="O45" i="12"/>
  <c r="C46" i="12"/>
  <c r="E46" i="12"/>
  <c r="F46" i="12"/>
  <c r="G46" i="12"/>
  <c r="H46" i="12"/>
  <c r="I46" i="12"/>
  <c r="J46" i="12"/>
  <c r="K46" i="12"/>
  <c r="L46" i="12"/>
  <c r="M46" i="12"/>
  <c r="N46" i="12"/>
  <c r="O46" i="12"/>
  <c r="C47" i="12"/>
  <c r="E47" i="12"/>
  <c r="F47" i="12"/>
  <c r="G47" i="12"/>
  <c r="H47" i="12"/>
  <c r="I47" i="12"/>
  <c r="J47" i="12"/>
  <c r="K47" i="12"/>
  <c r="L47" i="12"/>
  <c r="M47" i="12"/>
  <c r="N47" i="12"/>
  <c r="O47" i="12"/>
  <c r="C48" i="12"/>
  <c r="E48" i="12"/>
  <c r="F48" i="12"/>
  <c r="G48" i="12"/>
  <c r="H48" i="12"/>
  <c r="I48" i="12"/>
  <c r="J48" i="12"/>
  <c r="K48" i="12"/>
  <c r="L48" i="12"/>
  <c r="M48" i="12"/>
  <c r="N48" i="12"/>
  <c r="O48" i="12"/>
  <c r="C49" i="12"/>
  <c r="E49" i="12"/>
  <c r="F49" i="12"/>
  <c r="G49" i="12"/>
  <c r="H49" i="12"/>
  <c r="I49" i="12"/>
  <c r="J49" i="12"/>
  <c r="K49" i="12"/>
  <c r="L49" i="12"/>
  <c r="M49" i="12"/>
  <c r="N49" i="12"/>
  <c r="O49" i="12"/>
  <c r="C50" i="12"/>
  <c r="E50" i="12"/>
  <c r="F50" i="12"/>
  <c r="G50" i="12"/>
  <c r="H50" i="12"/>
  <c r="I50" i="12"/>
  <c r="J50" i="12"/>
  <c r="K50" i="12"/>
  <c r="L50" i="12"/>
  <c r="M50" i="12"/>
  <c r="N50" i="12"/>
  <c r="O50" i="12"/>
  <c r="C51" i="12"/>
  <c r="E51" i="12"/>
  <c r="F51" i="12"/>
  <c r="G51" i="12"/>
  <c r="H51" i="12"/>
  <c r="I51" i="12"/>
  <c r="J51" i="12"/>
  <c r="K51" i="12"/>
  <c r="L51" i="12"/>
  <c r="M51" i="12"/>
  <c r="N51" i="12"/>
  <c r="O51" i="12"/>
  <c r="C52" i="12"/>
  <c r="E52" i="12"/>
  <c r="F52" i="12"/>
  <c r="G52" i="12"/>
  <c r="H52" i="12"/>
  <c r="I52" i="12"/>
  <c r="J52" i="12"/>
  <c r="K52" i="12"/>
  <c r="L52" i="12"/>
  <c r="M52" i="12"/>
  <c r="N52" i="12"/>
  <c r="O52" i="12"/>
  <c r="C53" i="12"/>
  <c r="E53" i="12"/>
  <c r="F53" i="12"/>
  <c r="G53" i="12"/>
  <c r="H53" i="12"/>
  <c r="I53" i="12"/>
  <c r="J53" i="12"/>
  <c r="K53" i="12"/>
  <c r="L53" i="12"/>
  <c r="M53" i="12"/>
  <c r="N53" i="12"/>
  <c r="O53" i="12"/>
  <c r="C54" i="12"/>
  <c r="E54" i="12"/>
  <c r="F54" i="12"/>
  <c r="G54" i="12"/>
  <c r="H54" i="12"/>
  <c r="I54" i="12"/>
  <c r="J54" i="12"/>
  <c r="K54" i="12"/>
  <c r="L54" i="12"/>
  <c r="M54" i="12"/>
  <c r="N54" i="12"/>
  <c r="O54" i="12"/>
  <c r="C55" i="12"/>
  <c r="E55" i="12"/>
  <c r="F55" i="12"/>
  <c r="G55" i="12"/>
  <c r="H55" i="12"/>
  <c r="I55" i="12"/>
  <c r="J55" i="12"/>
  <c r="K55" i="12"/>
  <c r="L55" i="12"/>
  <c r="M55" i="12"/>
  <c r="N55" i="12"/>
  <c r="O55" i="12"/>
  <c r="C56" i="12"/>
  <c r="E56" i="12"/>
  <c r="F56" i="12"/>
  <c r="G56" i="12"/>
  <c r="H56" i="12"/>
  <c r="I56" i="12"/>
  <c r="J56" i="12"/>
  <c r="K56" i="12"/>
  <c r="L56" i="12"/>
  <c r="M56" i="12"/>
  <c r="N56" i="12"/>
  <c r="O56" i="12"/>
  <c r="C57" i="12"/>
  <c r="E57" i="12"/>
  <c r="F57" i="12"/>
  <c r="G57" i="12"/>
  <c r="H57" i="12"/>
  <c r="I57" i="12"/>
  <c r="J57" i="12"/>
  <c r="K57" i="12"/>
  <c r="L57" i="12"/>
  <c r="M57" i="12"/>
  <c r="N57" i="12"/>
  <c r="O57" i="12"/>
  <c r="C58" i="12"/>
  <c r="E58" i="12"/>
  <c r="F58" i="12"/>
  <c r="G58" i="12"/>
  <c r="H58" i="12"/>
  <c r="I58" i="12"/>
  <c r="J58" i="12"/>
  <c r="K58" i="12"/>
  <c r="L58" i="12"/>
  <c r="M58" i="12"/>
  <c r="N58" i="12"/>
  <c r="O58" i="12"/>
  <c r="C59" i="12"/>
  <c r="E59" i="12"/>
  <c r="F59" i="12"/>
  <c r="G59" i="12"/>
  <c r="H59" i="12"/>
  <c r="I59" i="12"/>
  <c r="J59" i="12"/>
  <c r="K59" i="12"/>
  <c r="L59" i="12"/>
  <c r="M59" i="12"/>
  <c r="N59" i="12"/>
  <c r="O59" i="12"/>
  <c r="C60" i="12"/>
  <c r="E60" i="12"/>
  <c r="F60" i="12"/>
  <c r="G60" i="12"/>
  <c r="H60" i="12"/>
  <c r="I60" i="12"/>
  <c r="J60" i="12"/>
  <c r="K60" i="12"/>
  <c r="L60" i="12"/>
  <c r="M60" i="12"/>
  <c r="N60" i="12"/>
  <c r="O60" i="12"/>
  <c r="C61" i="12"/>
  <c r="E61" i="12"/>
  <c r="F61" i="12"/>
  <c r="G61" i="12"/>
  <c r="H61" i="12"/>
  <c r="I61" i="12"/>
  <c r="J61" i="12"/>
  <c r="K61" i="12"/>
  <c r="L61" i="12"/>
  <c r="M61" i="12"/>
  <c r="N61" i="12"/>
  <c r="O61" i="12"/>
  <c r="C62" i="12"/>
  <c r="E62" i="12"/>
  <c r="F62" i="12"/>
  <c r="G62" i="12"/>
  <c r="H62" i="12"/>
  <c r="I62" i="12"/>
  <c r="J62" i="12"/>
  <c r="K62" i="12"/>
  <c r="L62" i="12"/>
  <c r="M62" i="12"/>
  <c r="N62" i="12"/>
  <c r="O62" i="12"/>
  <c r="C63" i="12"/>
  <c r="E63" i="12"/>
  <c r="F63" i="12"/>
  <c r="G63" i="12"/>
  <c r="H63" i="12"/>
  <c r="I63" i="12"/>
  <c r="J63" i="12"/>
  <c r="K63" i="12"/>
  <c r="L63" i="12"/>
  <c r="M63" i="12"/>
  <c r="N63" i="12"/>
  <c r="O63" i="12"/>
  <c r="C64" i="12"/>
  <c r="E64" i="12"/>
  <c r="F64" i="12"/>
  <c r="G64" i="12"/>
  <c r="H64" i="12"/>
  <c r="I64" i="12"/>
  <c r="J64" i="12"/>
  <c r="K64" i="12"/>
  <c r="L64" i="12"/>
  <c r="M64" i="12"/>
  <c r="N64" i="12"/>
  <c r="O64" i="12"/>
  <c r="C65" i="12"/>
  <c r="E65" i="12"/>
  <c r="F65" i="12"/>
  <c r="G65" i="12"/>
  <c r="H65" i="12"/>
  <c r="I65" i="12"/>
  <c r="J65" i="12"/>
  <c r="K65" i="12"/>
  <c r="L65" i="12"/>
  <c r="M65" i="12"/>
  <c r="N65" i="12"/>
  <c r="O65" i="12"/>
  <c r="C66" i="12"/>
  <c r="E66" i="12"/>
  <c r="F66" i="12"/>
  <c r="G66" i="12"/>
  <c r="H66" i="12"/>
  <c r="I66" i="12"/>
  <c r="J66" i="12"/>
  <c r="K66" i="12"/>
  <c r="L66" i="12"/>
  <c r="M66" i="12"/>
  <c r="N66" i="12"/>
  <c r="O66" i="12"/>
  <c r="C67" i="12"/>
  <c r="E67" i="12"/>
  <c r="F67" i="12"/>
  <c r="G67" i="12"/>
  <c r="H67" i="12"/>
  <c r="I67" i="12"/>
  <c r="J67" i="12"/>
  <c r="K67" i="12"/>
  <c r="L67" i="12"/>
  <c r="M67" i="12"/>
  <c r="N67" i="12"/>
  <c r="O67" i="12"/>
  <c r="E72" i="12"/>
  <c r="E73" i="12"/>
  <c r="F73" i="12"/>
  <c r="G73" i="12"/>
  <c r="H73" i="12"/>
  <c r="I73" i="12"/>
  <c r="J73" i="12"/>
  <c r="L73" i="12"/>
  <c r="E74" i="12"/>
  <c r="F74" i="12"/>
  <c r="G74" i="12"/>
  <c r="M74" i="12" s="1"/>
  <c r="H74" i="12"/>
  <c r="I74" i="12"/>
  <c r="J74" i="12"/>
  <c r="C75" i="12"/>
  <c r="E75" i="12"/>
  <c r="F75" i="12"/>
  <c r="G75" i="12"/>
  <c r="H75" i="12"/>
  <c r="I75" i="12"/>
  <c r="J75" i="12"/>
  <c r="C76" i="12"/>
  <c r="E76" i="12"/>
  <c r="F76" i="12"/>
  <c r="L76" i="12" s="1"/>
  <c r="G76" i="12"/>
  <c r="H76" i="12"/>
  <c r="I76" i="12"/>
  <c r="J76" i="12"/>
  <c r="C77" i="12"/>
  <c r="E77" i="12"/>
  <c r="F77" i="12"/>
  <c r="G77" i="12"/>
  <c r="M77" i="12" s="1"/>
  <c r="H77" i="12"/>
  <c r="N77" i="12" s="1"/>
  <c r="I77" i="12"/>
  <c r="O77" i="12" s="1"/>
  <c r="J77" i="12"/>
  <c r="C78" i="12"/>
  <c r="E78" i="12"/>
  <c r="F78" i="12"/>
  <c r="G78" i="12"/>
  <c r="M78" i="12" s="1"/>
  <c r="H78" i="12"/>
  <c r="N78" i="12" s="1"/>
  <c r="I78" i="12"/>
  <c r="O78" i="12" s="1"/>
  <c r="J78" i="12"/>
  <c r="C79" i="12"/>
  <c r="E79" i="12"/>
  <c r="F79" i="12"/>
  <c r="G79" i="12"/>
  <c r="H79" i="12"/>
  <c r="M79" i="12" s="1"/>
  <c r="I79" i="12"/>
  <c r="J79" i="12"/>
  <c r="C80" i="12"/>
  <c r="E80" i="12"/>
  <c r="F80" i="12"/>
  <c r="G80" i="12"/>
  <c r="H80" i="12"/>
  <c r="I80" i="12"/>
  <c r="J80" i="12"/>
  <c r="C81" i="12"/>
  <c r="E81" i="12"/>
  <c r="F81" i="12"/>
  <c r="G81" i="12"/>
  <c r="H81" i="12"/>
  <c r="I81" i="12"/>
  <c r="J81" i="12"/>
  <c r="C82" i="12"/>
  <c r="E82" i="12"/>
  <c r="F82" i="12"/>
  <c r="G82" i="12"/>
  <c r="L82" i="12" s="1"/>
  <c r="H82" i="12"/>
  <c r="I82" i="12"/>
  <c r="O82" i="12" s="1"/>
  <c r="J82" i="12"/>
  <c r="C83" i="12"/>
  <c r="E83" i="12"/>
  <c r="F83" i="12"/>
  <c r="G83" i="12"/>
  <c r="H83" i="12"/>
  <c r="N83" i="12" s="1"/>
  <c r="I83" i="12"/>
  <c r="O83" i="12" s="1"/>
  <c r="J83" i="12"/>
  <c r="C84" i="12"/>
  <c r="E84" i="12"/>
  <c r="F84" i="12"/>
  <c r="G84" i="12"/>
  <c r="H84" i="12"/>
  <c r="N84" i="12" s="1"/>
  <c r="I84" i="12"/>
  <c r="O84" i="12" s="1"/>
  <c r="J84" i="12"/>
  <c r="C85" i="12"/>
  <c r="E85" i="12"/>
  <c r="F85" i="12"/>
  <c r="G85" i="12"/>
  <c r="H85" i="12"/>
  <c r="N85" i="12" s="1"/>
  <c r="I85" i="12"/>
  <c r="O85" i="12" s="1"/>
  <c r="J85" i="12"/>
  <c r="C86" i="12"/>
  <c r="E86" i="12"/>
  <c r="F86" i="12"/>
  <c r="G86" i="12"/>
  <c r="L86" i="12" s="1"/>
  <c r="H86" i="12"/>
  <c r="N86" i="12" s="1"/>
  <c r="I86" i="12"/>
  <c r="O86" i="12" s="1"/>
  <c r="J86" i="12"/>
  <c r="C87" i="12"/>
  <c r="E87" i="12"/>
  <c r="F87" i="12"/>
  <c r="G87" i="12"/>
  <c r="L87" i="12" s="1"/>
  <c r="H87" i="12"/>
  <c r="N87" i="12" s="1"/>
  <c r="I87" i="12"/>
  <c r="O87" i="12" s="1"/>
  <c r="J87" i="12"/>
  <c r="C88" i="12"/>
  <c r="E88" i="12"/>
  <c r="F88" i="12"/>
  <c r="G88" i="12"/>
  <c r="H88" i="12"/>
  <c r="N88" i="12" s="1"/>
  <c r="I88" i="12"/>
  <c r="O88" i="12" s="1"/>
  <c r="J88" i="12"/>
  <c r="C89" i="12"/>
  <c r="E89" i="12"/>
  <c r="F89" i="12"/>
  <c r="L89" i="12" s="1"/>
  <c r="G89" i="12"/>
  <c r="H89" i="12"/>
  <c r="N89" i="12" s="1"/>
  <c r="I89" i="12"/>
  <c r="O89" i="12" s="1"/>
  <c r="J89" i="12"/>
  <c r="C90" i="12"/>
  <c r="E90" i="12"/>
  <c r="F90" i="12"/>
  <c r="G90" i="12"/>
  <c r="H90" i="12"/>
  <c r="N90" i="12" s="1"/>
  <c r="I90" i="12"/>
  <c r="O90" i="12" s="1"/>
  <c r="J90" i="12"/>
  <c r="C91" i="12"/>
  <c r="E91" i="12"/>
  <c r="F91" i="12"/>
  <c r="L91" i="12" s="1"/>
  <c r="G91" i="12"/>
  <c r="H91" i="12"/>
  <c r="N91" i="12" s="1"/>
  <c r="I91" i="12"/>
  <c r="O91" i="12" s="1"/>
  <c r="J91" i="12"/>
  <c r="C92" i="12"/>
  <c r="E92" i="12"/>
  <c r="F92" i="12"/>
  <c r="G92" i="12"/>
  <c r="H92" i="12"/>
  <c r="N92" i="12" s="1"/>
  <c r="I92" i="12"/>
  <c r="O92" i="12" s="1"/>
  <c r="J92" i="12"/>
  <c r="C93" i="12"/>
  <c r="E93" i="12"/>
  <c r="F93" i="12"/>
  <c r="G93" i="12"/>
  <c r="H93" i="12"/>
  <c r="N93" i="12" s="1"/>
  <c r="I93" i="12"/>
  <c r="O93" i="12" s="1"/>
  <c r="J93" i="12"/>
  <c r="C94" i="12"/>
  <c r="E94" i="12"/>
  <c r="F94" i="12"/>
  <c r="L94" i="12" s="1"/>
  <c r="G94" i="12"/>
  <c r="H94" i="12"/>
  <c r="N94" i="12" s="1"/>
  <c r="I94" i="12"/>
  <c r="O94" i="12" s="1"/>
  <c r="J94" i="12"/>
  <c r="C95" i="12"/>
  <c r="E95" i="12"/>
  <c r="F95" i="12"/>
  <c r="G95" i="12"/>
  <c r="H95" i="12"/>
  <c r="N95" i="12" s="1"/>
  <c r="I95" i="12"/>
  <c r="O95" i="12" s="1"/>
  <c r="J95" i="12"/>
  <c r="C96" i="12"/>
  <c r="E96" i="12"/>
  <c r="F96" i="12"/>
  <c r="G96" i="12"/>
  <c r="M96" i="12" s="1"/>
  <c r="H96" i="12"/>
  <c r="N96" i="12" s="1"/>
  <c r="I96" i="12"/>
  <c r="O96" i="12" s="1"/>
  <c r="J96" i="12"/>
  <c r="C97" i="12"/>
  <c r="E97" i="12"/>
  <c r="F97" i="12"/>
  <c r="G97" i="12"/>
  <c r="L97" i="12" s="1"/>
  <c r="H97" i="12"/>
  <c r="N97" i="12" s="1"/>
  <c r="I97" i="12"/>
  <c r="O97" i="12" s="1"/>
  <c r="J97" i="12"/>
  <c r="C98" i="12"/>
  <c r="E98" i="12"/>
  <c r="F98" i="12"/>
  <c r="G98" i="12"/>
  <c r="H98" i="12"/>
  <c r="N98" i="12" s="1"/>
  <c r="I98" i="12"/>
  <c r="O98" i="12" s="1"/>
  <c r="J98" i="12"/>
  <c r="C99" i="12"/>
  <c r="E99" i="12"/>
  <c r="F99" i="12"/>
  <c r="G99" i="12"/>
  <c r="H99" i="12"/>
  <c r="N99" i="12" s="1"/>
  <c r="I99" i="12"/>
  <c r="O99" i="12" s="1"/>
  <c r="J99" i="12"/>
  <c r="H6" i="11" l="1"/>
  <c r="I20" i="11"/>
  <c r="J20" i="11" s="1"/>
  <c r="K20" i="11" s="1"/>
  <c r="G9" i="11"/>
  <c r="F9" i="11"/>
  <c r="H9" i="11"/>
  <c r="F5" i="11"/>
  <c r="G7" i="11" s="1"/>
  <c r="G6" i="11"/>
  <c r="E5" i="11"/>
  <c r="H5" i="11"/>
  <c r="M94" i="12"/>
  <c r="L93" i="12"/>
  <c r="M84" i="12"/>
  <c r="L83" i="12"/>
  <c r="M81" i="12"/>
  <c r="L79" i="12"/>
  <c r="L74" i="12"/>
  <c r="L85" i="12"/>
  <c r="L78" i="12"/>
  <c r="O76" i="12"/>
  <c r="K76" i="12"/>
  <c r="K93" i="12"/>
  <c r="M89" i="12"/>
  <c r="M87" i="12"/>
  <c r="M86" i="12"/>
  <c r="N82" i="12"/>
  <c r="L98" i="12"/>
  <c r="K97" i="12"/>
  <c r="M95" i="12"/>
  <c r="M91" i="12"/>
  <c r="L81" i="12"/>
  <c r="M76" i="12"/>
  <c r="P44" i="12"/>
  <c r="P45" i="12" s="1"/>
  <c r="P46" i="12" s="1"/>
  <c r="P47" i="12" s="1"/>
  <c r="M88" i="12"/>
  <c r="M83" i="12"/>
  <c r="L92" i="12"/>
  <c r="L88" i="12"/>
  <c r="L84" i="12"/>
  <c r="K80" i="12"/>
  <c r="M99" i="12"/>
  <c r="L96" i="12"/>
  <c r="K89" i="12"/>
  <c r="K85" i="12"/>
  <c r="O81" i="12"/>
  <c r="K81" i="12"/>
  <c r="M82" i="12"/>
  <c r="L77" i="12"/>
  <c r="L75" i="12"/>
  <c r="L90" i="12"/>
  <c r="M98" i="12"/>
  <c r="K96" i="12"/>
  <c r="N81" i="12"/>
  <c r="N76" i="12"/>
  <c r="K75" i="12"/>
  <c r="M92" i="12"/>
  <c r="M80" i="12"/>
  <c r="K78" i="12"/>
  <c r="N75" i="12"/>
  <c r="K74" i="12"/>
  <c r="L99" i="12"/>
  <c r="L95" i="12"/>
  <c r="M90" i="12"/>
  <c r="M97" i="12"/>
  <c r="M93" i="12"/>
  <c r="K92" i="12"/>
  <c r="K88" i="12"/>
  <c r="M85" i="12"/>
  <c r="K84" i="12"/>
  <c r="K79" i="12"/>
  <c r="O75" i="12"/>
  <c r="K99" i="12"/>
  <c r="K95" i="12"/>
  <c r="K91" i="12"/>
  <c r="K87" i="12"/>
  <c r="K83" i="12"/>
  <c r="M75" i="12"/>
  <c r="O74" i="12"/>
  <c r="K98" i="12"/>
  <c r="K94" i="12"/>
  <c r="K90" i="12"/>
  <c r="K86" i="12"/>
  <c r="K82" i="12"/>
  <c r="L80" i="12"/>
  <c r="K77" i="12"/>
  <c r="N74" i="12"/>
  <c r="H59" i="11"/>
  <c r="G59" i="11"/>
  <c r="F59" i="11"/>
  <c r="E59" i="11"/>
  <c r="H58" i="11"/>
  <c r="G58" i="11"/>
  <c r="F58" i="11"/>
  <c r="E58" i="11"/>
  <c r="H57" i="11"/>
  <c r="G57" i="11"/>
  <c r="F57" i="11"/>
  <c r="E57" i="11"/>
  <c r="H56" i="11"/>
  <c r="G56" i="11"/>
  <c r="F56" i="11"/>
  <c r="E56" i="11"/>
  <c r="H54" i="11"/>
  <c r="G54" i="11"/>
  <c r="F54" i="11"/>
  <c r="E54" i="11"/>
  <c r="H53" i="11"/>
  <c r="G53" i="11"/>
  <c r="F53" i="11"/>
  <c r="E53" i="11"/>
  <c r="H52" i="11"/>
  <c r="G52" i="11"/>
  <c r="F52" i="11"/>
  <c r="E52" i="11"/>
  <c r="F7" i="11" l="1"/>
  <c r="H7" i="11"/>
  <c r="I5" i="11"/>
  <c r="J5" i="11" l="1"/>
  <c r="K5" i="11" s="1"/>
  <c r="I6" i="11"/>
  <c r="F39" i="16" l="1"/>
  <c r="L34" i="16"/>
  <c r="F38" i="16"/>
  <c r="L35" i="16" l="1"/>
  <c r="M35" i="16"/>
  <c r="G39" i="16"/>
  <c r="M34" i="16"/>
  <c r="G38" i="16"/>
  <c r="N35" i="16" l="1"/>
  <c r="H39" i="16"/>
  <c r="N34" i="16"/>
  <c r="H38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MJ Acosta Santos</author>
  </authors>
  <commentList>
    <comment ref="D5" authorId="0" shapeId="0" xr:uid="{FCBBF1B5-DE5F-4DB7-AB61-66B72A4DFD9A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a pagar para el ingreso del producto a la República Dominicana.</t>
        </r>
      </text>
    </comment>
    <comment ref="I6" authorId="0" shapeId="0" xr:uid="{FA4905C9-DB96-41BA-A94D-7FB53C51F979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J6" authorId="0" shapeId="0" xr:uid="{983860F9-B139-490A-8876-B484D3EC1B0D}">
      <text>
        <r>
          <rPr>
            <b/>
            <sz val="9"/>
            <color indexed="81"/>
            <rFont val="Tahoma"/>
            <family val="2"/>
          </rPr>
          <t xml:space="preserve">CDC: </t>
        </r>
        <r>
          <rPr>
            <sz val="9"/>
            <color indexed="81"/>
            <rFont val="Tahoma"/>
            <family val="2"/>
          </rPr>
          <t>Periodo similar al periodo más reciente correspondiente al año anterior (por ejemplo, si el periodo más reciente es septiembre - diciembre 2019, el periodo comparable sería septiembre - diciembre 2018)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O6" authorId="0" shapeId="0" xr:uid="{9B0E278A-7853-47C6-8EB2-E05AB2767D8B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similar al periodo más reciente correspondiente al año anterior (por ejemplo, si el periodo más reciente es septiembre - diciembre 2019, el periodo comparable sería septiembre - diciembre 2018).</t>
        </r>
      </text>
    </comment>
    <comment ref="P6" authorId="0" shapeId="0" xr:uid="{33092879-83BA-43CF-9EAE-53969A0373DA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Periodo más próximo a la solicitud de examen por expiración de la medida antidumping (generalmente comprende los cuatro o seis meses anteriores a la solicitud de examen).</t>
        </r>
      </text>
    </comment>
    <comment ref="D37" authorId="0" shapeId="0" xr:uid="{AD6BC7BA-0E48-40FE-9328-178DE24661D0}">
      <text>
        <r>
          <rPr>
            <b/>
            <sz val="9"/>
            <color indexed="81"/>
            <rFont val="Tahoma"/>
            <family val="2"/>
          </rPr>
          <t>CDC:</t>
        </r>
        <r>
          <rPr>
            <sz val="9"/>
            <color indexed="81"/>
            <rFont val="Tahoma"/>
            <family val="2"/>
          </rPr>
          <t xml:space="preserve">
Tasa arancelaria Nación Más Favorecida.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<sst xmlns="http://schemas.openxmlformats.org/spreadsheetml/2006/main" count="421" uniqueCount="179">
  <si>
    <t>Unidad</t>
  </si>
  <si>
    <t>$M.N.</t>
  </si>
  <si>
    <t>%</t>
  </si>
  <si>
    <t>No.</t>
  </si>
  <si>
    <t>Conceptos</t>
  </si>
  <si>
    <t>Estado de resultados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</si>
  <si>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</si>
  <si>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</si>
  <si>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</si>
  <si>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</si>
  <si>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</si>
  <si>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</si>
  <si>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</si>
  <si>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</si>
  <si>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</si>
  <si>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Balance General</t>
  </si>
  <si>
    <t>Indicadores financieros</t>
  </si>
  <si>
    <t>Utilidad neta/ventas</t>
  </si>
  <si>
    <t>Flujo de caja o flujo de efectivo</t>
  </si>
  <si>
    <t>$ MN</t>
  </si>
  <si>
    <t>Rendimiento de las inversiones</t>
  </si>
  <si>
    <t>Capacidad de reunir capital</t>
  </si>
  <si>
    <t xml:space="preserve">    Ratio de circulante</t>
  </si>
  <si>
    <t xml:space="preserve">    Prueba del ácido</t>
  </si>
  <si>
    <t xml:space="preserve">    Pasivo total/capital contable</t>
  </si>
  <si>
    <t xml:space="preserve">    Pasivo total/activo total</t>
  </si>
  <si>
    <t>Salarios (integrado).</t>
  </si>
  <si>
    <t>Valor de ventas al mercado nacional de producto elaborado por la empresa.</t>
  </si>
  <si>
    <t>N°</t>
  </si>
  <si>
    <t>Empleados de la empresa al cierre del periodo.</t>
  </si>
  <si>
    <t>Obreros de la empresa al cierre del periodo</t>
  </si>
  <si>
    <t>Ut</t>
  </si>
  <si>
    <t>Volumen de ventas al mercado nacional de producto elaborado por la empresa.</t>
  </si>
  <si>
    <t>Indicadores de la mercancía (volúmen en unidad de la tarifa y valor en moneda nacional (M.N.))</t>
  </si>
  <si>
    <t xml:space="preserve">No. </t>
  </si>
  <si>
    <t>Escenarios:</t>
  </si>
  <si>
    <t>Fuente</t>
  </si>
  <si>
    <t>Anexo 2</t>
  </si>
  <si>
    <t>Anexo 3</t>
  </si>
  <si>
    <t>Proyecciones</t>
  </si>
  <si>
    <t>1 ano Futuro</t>
  </si>
  <si>
    <t>2 ano Futuro</t>
  </si>
  <si>
    <t>3 ano Futuro</t>
  </si>
  <si>
    <t>PARAMETROS</t>
  </si>
  <si>
    <t>Real</t>
  </si>
  <si>
    <t>Anexo 1</t>
  </si>
  <si>
    <t>2. Arancel NMF: Tasa arancelaria a pagar para el ingreso del producto a la República Dominicana.</t>
  </si>
  <si>
    <t>1.- Favor de precisar la fuente de procedencia de los datos, anexos  y similares que avalen la información proporcionada en este cuadro (i.e. título, autor, página, fecha del documento o de su consulta, página web u otra, según corresponda).</t>
  </si>
  <si>
    <t>Instrucciones para el llenado de la información</t>
  </si>
  <si>
    <t>Mundo</t>
  </si>
  <si>
    <t>A</t>
  </si>
  <si>
    <t>Variación porcentual Precios (%)</t>
  </si>
  <si>
    <t>Arancel NMF</t>
  </si>
  <si>
    <t>País</t>
  </si>
  <si>
    <t>Resto de los países</t>
  </si>
  <si>
    <t>D = A - C</t>
  </si>
  <si>
    <t>Principales 5 países</t>
  </si>
  <si>
    <t>C</t>
  </si>
  <si>
    <t>25 países reportados</t>
  </si>
  <si>
    <t>B</t>
  </si>
  <si>
    <t>Participación Volumen (%)</t>
  </si>
  <si>
    <t>Variación porcentual Volumen (%)</t>
  </si>
  <si>
    <t>ISLAS VIRGENES (G.B.)</t>
  </si>
  <si>
    <t>CHINA</t>
  </si>
  <si>
    <t>RUSIA</t>
  </si>
  <si>
    <t>TURQUIA</t>
  </si>
  <si>
    <t>COLOMBIA</t>
  </si>
  <si>
    <t>JAPON</t>
  </si>
  <si>
    <t>ESTADOS UNIDOS (EEUU)</t>
  </si>
  <si>
    <t>COSTA RICA</t>
  </si>
  <si>
    <t>Ene - Jun  2025</t>
  </si>
  <si>
    <t>Ene - Jun  2024</t>
  </si>
  <si>
    <t>Valor (USD)</t>
  </si>
  <si>
    <t>Enero - Junio</t>
  </si>
  <si>
    <t>TM</t>
  </si>
  <si>
    <t>Unidad de volumen</t>
  </si>
  <si>
    <t>7214.20.00 y 7214.10.00</t>
  </si>
  <si>
    <t>Código arancelario</t>
  </si>
  <si>
    <t xml:space="preserve">Anexo 1    Origen de las importaciones del producto objeto de examen </t>
  </si>
  <si>
    <t>Participacion de Mercado RPN</t>
  </si>
  <si>
    <t>Escenario A  (mantenimiento del market share)</t>
  </si>
  <si>
    <t>Mercado Total de Varillas</t>
  </si>
  <si>
    <t>Tasa Crecimiento % Mercado Total</t>
  </si>
  <si>
    <t>T.C. %  ventas volumen PRN</t>
  </si>
  <si>
    <t>T.C. % Importaciones Totales</t>
  </si>
  <si>
    <t>Importaciones Mundo</t>
  </si>
  <si>
    <t>Proyectado (en base a datos del 2024)</t>
  </si>
  <si>
    <t>EBIT (Utilidad operativa) (PInv)</t>
  </si>
  <si>
    <t>(3) Precio Anual Promedio x TM  (2 / 1)</t>
  </si>
  <si>
    <t>(2) Valor de ventas al mercado nacional de producto elaborado por la empresa.</t>
  </si>
  <si>
    <t>( 1) Volumen de ventas al mercado nacional de producto elaborado por la empresa.</t>
  </si>
  <si>
    <t>Impacto %</t>
  </si>
  <si>
    <t>Impacto</t>
  </si>
  <si>
    <t>Fuente:</t>
  </si>
  <si>
    <t>Supuestos:  Reduccion precios  de un:</t>
  </si>
  <si>
    <t>Asume mantenimiento del volumen producido, afectando unicamente el precio de venta</t>
  </si>
  <si>
    <t>Analisis del Impacto Financiero en el EBIT y las Utilidades por contraccion de Precios de Venta</t>
  </si>
  <si>
    <t>Ano 1</t>
  </si>
  <si>
    <t>Ano 2</t>
  </si>
  <si>
    <t>Ano 3</t>
  </si>
  <si>
    <t>Escenario A</t>
  </si>
  <si>
    <t>la RPN reduce precios para no perder participacion de Mercado</t>
  </si>
  <si>
    <t xml:space="preserve">Ano1 </t>
  </si>
  <si>
    <t>Proyecciones  Con Reduccion de Precios (tomando ano base)</t>
  </si>
  <si>
    <t>ano 1</t>
  </si>
  <si>
    <t>ano 2</t>
  </si>
  <si>
    <t>ano 3</t>
  </si>
  <si>
    <t>2024 (ano Base)</t>
  </si>
  <si>
    <t>Crecimiento del Mercado</t>
  </si>
  <si>
    <t>Crecimiento RPN</t>
  </si>
  <si>
    <t xml:space="preserve">Cambio en los Costos </t>
  </si>
  <si>
    <t>Escenario A - Defensa Market Share - 3 anos supuesto segun parametros</t>
  </si>
  <si>
    <t xml:space="preserve">Escenario Base  - Estatus Quo - Mantenimiento de la Medida Antidumping </t>
  </si>
  <si>
    <t>Cambio Precios - mantenimiento Medida</t>
  </si>
  <si>
    <t>Aumento en los Gastos Operativos</t>
  </si>
  <si>
    <t>Variacion Precio de Venta (manteniendo la Medida)</t>
  </si>
  <si>
    <t>Variacion Precio de Venta (Eliminando la Medida)</t>
  </si>
  <si>
    <t>Variacion en Depreciacion</t>
  </si>
  <si>
    <t>EBIT / Ventas</t>
  </si>
  <si>
    <t>Ano 1 / Base</t>
  </si>
  <si>
    <t>Ano 2 / Ano 1</t>
  </si>
  <si>
    <t>Ano 1 - Base</t>
  </si>
  <si>
    <t>Ano 2 - Ano 1</t>
  </si>
  <si>
    <t>Ano 3 - Ano 2</t>
  </si>
  <si>
    <t>Variacion</t>
  </si>
  <si>
    <t>Crecimiento Annual</t>
  </si>
  <si>
    <t>Ano 3 / Ano 2</t>
  </si>
  <si>
    <t>Reducion de Precios para Defender MS</t>
  </si>
  <si>
    <t>Exportaciones</t>
  </si>
  <si>
    <t>Ventas Locales</t>
  </si>
  <si>
    <t>Escenario Sin Tasa Antidumping</t>
  </si>
  <si>
    <t>Escenario Base - Con Tasa de Dumping</t>
  </si>
  <si>
    <t>Utilidad Bruta</t>
  </si>
  <si>
    <t>Impacto  entre Escenario Base y Escenario A</t>
  </si>
  <si>
    <t>Indicador</t>
  </si>
  <si>
    <t>Utilidad Bruta / Ventas</t>
  </si>
  <si>
    <t>Ventas Locales sin ajuste precios</t>
  </si>
  <si>
    <t>Ventas Locales Con Ajuste precios</t>
  </si>
  <si>
    <t>Contraccion en el Volumen de Ventas</t>
  </si>
  <si>
    <t>Contraccion Ventas Mercado Local</t>
  </si>
  <si>
    <t>Contraccion Precio de Venta</t>
  </si>
  <si>
    <t>Contraccion % Utilidad Bruta</t>
  </si>
  <si>
    <t>Conraccion del EBIT</t>
  </si>
  <si>
    <t>Exportaciones de Costa Rica a Republica Dominicana</t>
  </si>
  <si>
    <t xml:space="preserve">Diferencia Absoluta con proyección promedio </t>
  </si>
  <si>
    <t xml:space="preserve">Diferencia % con proyección promedio </t>
  </si>
  <si>
    <t>Importaciones Costa Rica</t>
  </si>
  <si>
    <t>Variable</t>
  </si>
  <si>
    <t>Precios de Venta (base 2024) - RD$</t>
  </si>
  <si>
    <t>Ventas No ejecutadas anuales - RD$</t>
  </si>
  <si>
    <t>Reduccion en Utilidades  1 periodo  RD$</t>
  </si>
  <si>
    <t>Reduccion en EBIT  1 periodo RD$</t>
  </si>
  <si>
    <t>Reduccion en Utilidades 3 peridos RD$</t>
  </si>
  <si>
    <t>Reduccion en EBIT  3  periodos RD$</t>
  </si>
  <si>
    <t>proyección 2025 TM</t>
  </si>
  <si>
    <t>Proyección 2026 TM</t>
  </si>
  <si>
    <t>proyección 2027 TM</t>
  </si>
  <si>
    <t>proyección Promedio 3 años  TM</t>
  </si>
  <si>
    <t>Real Exportado por CR en 2024 TM</t>
  </si>
  <si>
    <r>
      <t xml:space="preserve">Ventas netas </t>
    </r>
    <r>
      <rPr>
        <i/>
        <sz val="11"/>
        <rFont val="Arial"/>
        <family val="2"/>
      </rPr>
      <t>(PInv)</t>
    </r>
  </si>
  <si>
    <r>
      <t xml:space="preserve">Costo de ventas </t>
    </r>
    <r>
      <rPr>
        <i/>
        <sz val="11"/>
        <rFont val="Arial"/>
        <family val="2"/>
      </rPr>
      <t>(PInv)</t>
    </r>
  </si>
  <si>
    <r>
      <t xml:space="preserve">Utilidad bruta </t>
    </r>
    <r>
      <rPr>
        <i/>
        <sz val="11"/>
        <rFont val="Arial"/>
        <family val="2"/>
      </rPr>
      <t>(PInv)</t>
    </r>
  </si>
  <si>
    <r>
      <t xml:space="preserve">Gastos de operación </t>
    </r>
    <r>
      <rPr>
        <i/>
        <sz val="11"/>
        <rFont val="Arial"/>
        <family val="2"/>
      </rPr>
      <t>(pr)</t>
    </r>
  </si>
  <si>
    <r>
      <t xml:space="preserve">Depreciación y otros conceptos de flujo de efectivo </t>
    </r>
    <r>
      <rPr>
        <i/>
        <sz val="11"/>
        <rFont val="Arial"/>
        <family val="2"/>
      </rPr>
      <t>(pr)</t>
    </r>
  </si>
  <si>
    <r>
      <t xml:space="preserve">EBIT (Utilidad operativa) </t>
    </r>
    <r>
      <rPr>
        <i/>
        <sz val="11"/>
        <rFont val="Arial"/>
        <family val="2"/>
      </rPr>
      <t>(PInv)</t>
    </r>
  </si>
  <si>
    <r>
      <t xml:space="preserve">Utilidad antes de impuestos </t>
    </r>
    <r>
      <rPr>
        <i/>
        <sz val="11"/>
        <rFont val="Arial"/>
        <family val="2"/>
      </rPr>
      <t>(PInv)</t>
    </r>
  </si>
  <si>
    <r>
      <t xml:space="preserve">Impuestos </t>
    </r>
    <r>
      <rPr>
        <i/>
        <sz val="11"/>
        <rFont val="Arial"/>
        <family val="2"/>
      </rPr>
      <t>(pr)</t>
    </r>
  </si>
  <si>
    <r>
      <t xml:space="preserve">Utilidad neta </t>
    </r>
    <r>
      <rPr>
        <i/>
        <sz val="11"/>
        <rFont val="Arial"/>
        <family val="2"/>
      </rPr>
      <t>(PInv)</t>
    </r>
  </si>
  <si>
    <r>
      <t>Activos Totales (</t>
    </r>
    <r>
      <rPr>
        <i/>
        <sz val="11"/>
        <rFont val="Arial"/>
        <family val="2"/>
      </rPr>
      <t>pr)</t>
    </r>
  </si>
  <si>
    <r>
      <t xml:space="preserve">Capital contable </t>
    </r>
    <r>
      <rPr>
        <i/>
        <sz val="11"/>
        <rFont val="Arial"/>
        <family val="2"/>
      </rPr>
      <t>(pr)</t>
    </r>
  </si>
  <si>
    <r>
      <t xml:space="preserve">Activo circulante </t>
    </r>
    <r>
      <rPr>
        <i/>
        <sz val="11"/>
        <rFont val="Arial"/>
        <family val="2"/>
      </rPr>
      <t>(pr)</t>
    </r>
  </si>
  <si>
    <r>
      <t xml:space="preserve">Pasivo circulante </t>
    </r>
    <r>
      <rPr>
        <i/>
        <sz val="11"/>
        <rFont val="Arial"/>
        <family val="2"/>
      </rPr>
      <t>(pr)</t>
    </r>
  </si>
  <si>
    <r>
      <t xml:space="preserve">Inventarios </t>
    </r>
    <r>
      <rPr>
        <i/>
        <sz val="11"/>
        <rFont val="Arial"/>
        <family val="2"/>
      </rPr>
      <t>(pr)</t>
    </r>
  </si>
  <si>
    <r>
      <t xml:space="preserve">Pasivo Total </t>
    </r>
    <r>
      <rPr>
        <i/>
        <sz val="11"/>
        <rFont val="Arial"/>
        <family val="2"/>
      </rPr>
      <t>(pr)</t>
    </r>
  </si>
  <si>
    <t>DECLARACION DE CONFIDENCIALIDAD</t>
  </si>
  <si>
    <t>De conformidad con los Artículos 18 inciso 14) del Reglamento la información de carácter confidencial es aquella cuya divulgación implicaría una ventaja significativa para un competidor o tendría un efecto significativamente desfavorable para la persona que proporcione la información o para un tercero del que esta última la haya recibido</t>
  </si>
  <si>
    <t>LA INFORMACION CONTENIDA EN ESTE DATO/ANEXO ES CONSIDERADA INFORMACION CONFIDENCIAL DE ACUERDO AL ARTICULO 6.5 DEL ACUERDO ANTIDUMPING 12.4 DEL ACUERDO DE SUBVENCIONES Y MEDIDAS COMPENSATORIAS, DEBIDO A QUE SU DIVULGACION IMPLICARIA UNA VENTAJA SIGNIFICATIVA PARA UN COMPETIDOR, ADEMAS DE CAUSAR UN DAŇO FINANCIERO SUSTANCIAL E IRREVERSIBLE PARA NUESTRA EMPRESA. SE HA MULTIPLICADO POR UN NUMERO MENOR O IGUAL A 100 PARA FACILITAR LA LECTURA.</t>
  </si>
  <si>
    <t>NO CONFIDENCIAL</t>
  </si>
  <si>
    <t>Ver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</si>
</sst>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_-* #,##0.00_-;\-* #,##0.00_-;_-* \-??_-;_-@_-"/>
    <numFmt numFmtId="167" formatCode="_-* #,##0.0_-;\-* #,##0.0_-;_-* \-??_-;_-@_-"/>
    <numFmt numFmtId="168" formatCode="#,##0.00_ ;[Red]\-#,##0.00\ "/>
    <numFmt numFmtId="169" formatCode="#,##0_ ;[Red]\-#,##0\ "/>
    <numFmt numFmtId="170" formatCode="_-* #,##0_-;\-* #,##0_-;_-* &quot;-&quot;??_-;_-@_-"/>
    <numFmt numFmtId="171" formatCode="0.0000"/>
    <numFmt numFmtId="172" formatCode="0.0%"/>
    <numFmt numFmtId="173" formatCode="_(* #,##0_);_(* \(#,##0\);_(* &quot;-&quot;??_);_(@_)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7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2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rgb="FFFF0000"/>
      <name val="Calibri"/>
      <family val="2"/>
    </font>
    <font>
      <sz val="11"/>
      <name val="Arial"/>
      <family val="2"/>
    </font>
    <font>
      <b/>
      <u/>
      <sz val="11"/>
      <name val="Arial"/>
      <family val="2"/>
    </font>
    <font>
      <i/>
      <sz val="11"/>
      <name val="Arial"/>
      <family val="2"/>
    </font>
    <font>
      <sz val="10"/>
      <name val="Calibri"/>
      <family val="2"/>
    </font>
    <font>
      <sz val="8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50"/>
      </patternFill>
    </fill>
    <fill>
      <patternFill patternType="solid">
        <fgColor indexed="22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2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166" fontId="2" fillId="0" borderId="0" applyFill="0" applyBorder="0" applyAlignment="0" applyProtection="0"/>
    <xf numFmtId="0" fontId="2" fillId="0" borderId="0"/>
    <xf numFmtId="166" fontId="2" fillId="0" borderId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</cellStyleXfs>
  <cellXfs count="20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Continuous" vertical="center"/>
    </xf>
    <xf numFmtId="164" fontId="0" fillId="0" borderId="1" xfId="1" applyFont="1" applyBorder="1"/>
    <xf numFmtId="0" fontId="0" fillId="0" borderId="1" xfId="0" applyBorder="1"/>
    <xf numFmtId="0" fontId="11" fillId="0" borderId="0" xfId="0" applyFont="1"/>
    <xf numFmtId="0" fontId="2" fillId="5" borderId="1" xfId="0" applyFont="1" applyFill="1" applyBorder="1"/>
    <xf numFmtId="0" fontId="3" fillId="5" borderId="1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11" fillId="6" borderId="0" xfId="0" applyFont="1" applyFill="1"/>
    <xf numFmtId="0" fontId="3" fillId="6" borderId="1" xfId="0" applyFont="1" applyFill="1" applyBorder="1" applyAlignment="1">
      <alignment horizontal="center" vertical="center" wrapText="1"/>
    </xf>
    <xf numFmtId="0" fontId="12" fillId="5" borderId="0" xfId="0" applyFont="1" applyFill="1"/>
    <xf numFmtId="0" fontId="11" fillId="5" borderId="0" xfId="0" applyFont="1" applyFill="1"/>
    <xf numFmtId="0" fontId="12" fillId="6" borderId="0" xfId="0" applyFont="1" applyFill="1"/>
    <xf numFmtId="0" fontId="3" fillId="5" borderId="5" xfId="0" applyFont="1" applyFill="1" applyBorder="1" applyAlignment="1">
      <alignment horizontal="center" vertical="center" wrapText="1"/>
    </xf>
    <xf numFmtId="0" fontId="2" fillId="0" borderId="0" xfId="3" applyAlignment="1">
      <alignment vertical="center" wrapText="1"/>
    </xf>
    <xf numFmtId="0" fontId="8" fillId="0" borderId="0" xfId="3" applyFont="1" applyAlignment="1">
      <alignment vertical="center" wrapText="1"/>
    </xf>
    <xf numFmtId="0" fontId="8" fillId="0" borderId="0" xfId="3" applyFont="1" applyAlignment="1">
      <alignment horizontal="left" vertical="center" wrapText="1"/>
    </xf>
    <xf numFmtId="0" fontId="14" fillId="0" borderId="0" xfId="4" applyFont="1"/>
    <xf numFmtId="167" fontId="3" fillId="0" borderId="0" xfId="5" applyNumberFormat="1" applyFont="1" applyFill="1" applyBorder="1" applyAlignment="1" applyProtection="1">
      <alignment vertical="center" wrapText="1"/>
    </xf>
    <xf numFmtId="0" fontId="2" fillId="0" borderId="0" xfId="3" applyAlignment="1">
      <alignment vertical="center"/>
    </xf>
    <xf numFmtId="0" fontId="8" fillId="0" borderId="0" xfId="3" applyFont="1" applyAlignment="1">
      <alignment vertical="center"/>
    </xf>
    <xf numFmtId="167" fontId="0" fillId="0" borderId="0" xfId="5" applyNumberFormat="1" applyFont="1" applyFill="1" applyBorder="1" applyAlignment="1" applyProtection="1">
      <alignment vertical="center" wrapText="1"/>
    </xf>
    <xf numFmtId="0" fontId="8" fillId="0" borderId="0" xfId="3" applyFont="1" applyAlignment="1">
      <alignment horizontal="center" vertical="center" wrapText="1"/>
    </xf>
    <xf numFmtId="168" fontId="15" fillId="7" borderId="6" xfId="7" applyNumberFormat="1" applyFont="1" applyFill="1" applyBorder="1" applyAlignment="1" applyProtection="1">
      <alignment horizontal="center" vertical="center" wrapText="1"/>
    </xf>
    <xf numFmtId="168" fontId="7" fillId="7" borderId="6" xfId="7" applyNumberFormat="1" applyFont="1" applyFill="1" applyBorder="1" applyAlignment="1" applyProtection="1">
      <alignment horizontal="center" vertical="center" wrapText="1"/>
    </xf>
    <xf numFmtId="10" fontId="8" fillId="0" borderId="7" xfId="3" applyNumberFormat="1" applyFont="1" applyBorder="1" applyAlignment="1">
      <alignment horizontal="center" vertical="center" wrapText="1"/>
    </xf>
    <xf numFmtId="0" fontId="8" fillId="0" borderId="6" xfId="3" applyFont="1" applyBorder="1" applyAlignment="1">
      <alignment horizontal="left" vertical="center" wrapText="1"/>
    </xf>
    <xf numFmtId="0" fontId="8" fillId="0" borderId="6" xfId="3" applyFont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168" fontId="15" fillId="0" borderId="6" xfId="5" applyNumberFormat="1" applyFont="1" applyFill="1" applyBorder="1" applyAlignment="1" applyProtection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5" fillId="8" borderId="8" xfId="3" applyFont="1" applyFill="1" applyBorder="1" applyAlignment="1">
      <alignment horizontal="center" vertical="center" wrapText="1"/>
    </xf>
    <xf numFmtId="49" fontId="5" fillId="8" borderId="8" xfId="3" applyNumberFormat="1" applyFont="1" applyFill="1" applyBorder="1" applyAlignment="1">
      <alignment horizontal="center" vertical="center" wrapText="1"/>
    </xf>
    <xf numFmtId="1" fontId="5" fillId="8" borderId="9" xfId="3" applyNumberFormat="1" applyFont="1" applyFill="1" applyBorder="1" applyAlignment="1">
      <alignment horizontal="center" vertical="center" wrapText="1"/>
    </xf>
    <xf numFmtId="168" fontId="7" fillId="0" borderId="6" xfId="5" applyNumberFormat="1" applyFont="1" applyFill="1" applyBorder="1" applyAlignment="1" applyProtection="1">
      <alignment horizontal="center" vertical="center" wrapText="1"/>
    </xf>
    <xf numFmtId="0" fontId="5" fillId="9" borderId="6" xfId="3" applyFont="1" applyFill="1" applyBorder="1" applyAlignment="1">
      <alignment horizontal="center" vertical="center" wrapText="1"/>
    </xf>
    <xf numFmtId="1" fontId="5" fillId="9" borderId="6" xfId="3" applyNumberFormat="1" applyFont="1" applyFill="1" applyBorder="1" applyAlignment="1">
      <alignment horizontal="center" vertical="center" wrapText="1"/>
    </xf>
    <xf numFmtId="0" fontId="5" fillId="10" borderId="11" xfId="3" applyFont="1" applyFill="1" applyBorder="1" applyAlignment="1">
      <alignment horizontal="center" vertical="center" wrapText="1"/>
    </xf>
    <xf numFmtId="0" fontId="2" fillId="0" borderId="0" xfId="3"/>
    <xf numFmtId="0" fontId="4" fillId="0" borderId="0" xfId="3" applyFont="1" applyAlignment="1">
      <alignment horizontal="center" vertical="center" wrapText="1"/>
    </xf>
    <xf numFmtId="169" fontId="7" fillId="7" borderId="6" xfId="7" applyNumberFormat="1" applyFont="1" applyFill="1" applyBorder="1" applyAlignment="1" applyProtection="1">
      <alignment horizontal="center" vertical="center" wrapText="1"/>
    </xf>
    <xf numFmtId="0" fontId="2" fillId="0" borderId="0" xfId="3" applyAlignment="1">
      <alignment horizontal="center" vertical="center" wrapText="1"/>
    </xf>
    <xf numFmtId="169" fontId="15" fillId="0" borderId="6" xfId="5" applyNumberFormat="1" applyFont="1" applyFill="1" applyBorder="1" applyAlignment="1" applyProtection="1">
      <alignment horizontal="center" vertical="center" wrapText="1"/>
    </xf>
    <xf numFmtId="1" fontId="5" fillId="11" borderId="6" xfId="3" applyNumberFormat="1" applyFont="1" applyFill="1" applyBorder="1" applyAlignment="1">
      <alignment horizontal="center" vertical="center" wrapText="1"/>
    </xf>
    <xf numFmtId="2" fontId="5" fillId="11" borderId="6" xfId="3" applyNumberFormat="1" applyFont="1" applyFill="1" applyBorder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3" fillId="0" borderId="0" xfId="3" applyFont="1" applyAlignment="1">
      <alignment vertical="center" wrapText="1"/>
    </xf>
    <xf numFmtId="0" fontId="2" fillId="0" borderId="0" xfId="3" applyAlignment="1">
      <alignment horizontal="centerContinuous" vertical="center" wrapText="1"/>
    </xf>
    <xf numFmtId="0" fontId="4" fillId="0" borderId="0" xfId="3" applyFont="1" applyAlignment="1">
      <alignment horizontal="centerContinuous" vertical="center" wrapText="1"/>
    </xf>
    <xf numFmtId="0" fontId="4" fillId="0" borderId="0" xfId="3" applyFont="1" applyAlignment="1">
      <alignment vertical="center" wrapText="1"/>
    </xf>
    <xf numFmtId="0" fontId="11" fillId="0" borderId="5" xfId="0" applyFont="1" applyBorder="1" applyAlignment="1">
      <alignment horizontal="center"/>
    </xf>
    <xf numFmtId="0" fontId="11" fillId="12" borderId="0" xfId="0" applyFont="1" applyFill="1"/>
    <xf numFmtId="172" fontId="11" fillId="12" borderId="0" xfId="2" applyNumberFormat="1" applyFont="1" applyFill="1" applyBorder="1"/>
    <xf numFmtId="9" fontId="11" fillId="12" borderId="0" xfId="0" applyNumberFormat="1" applyFont="1" applyFill="1"/>
    <xf numFmtId="0" fontId="12" fillId="0" borderId="0" xfId="0" applyFont="1"/>
    <xf numFmtId="170" fontId="21" fillId="0" borderId="1" xfId="0" applyNumberFormat="1" applyFont="1" applyBorder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170" fontId="0" fillId="0" borderId="1" xfId="0" applyNumberFormat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0" fillId="0" borderId="0" xfId="0" applyAlignment="1">
      <alignment horizontal="right" vertical="center"/>
    </xf>
    <xf numFmtId="9" fontId="20" fillId="13" borderId="2" xfId="0" applyNumberFormat="1" applyFont="1" applyFill="1" applyBorder="1" applyAlignment="1">
      <alignment horizontal="centerContinuous" vertical="center"/>
    </xf>
    <xf numFmtId="0" fontId="0" fillId="12" borderId="4" xfId="0" applyFill="1" applyBorder="1" applyAlignment="1">
      <alignment horizontal="left" vertical="center"/>
    </xf>
    <xf numFmtId="0" fontId="5" fillId="0" borderId="0" xfId="0" applyFont="1"/>
    <xf numFmtId="0" fontId="3" fillId="6" borderId="0" xfId="0" applyFont="1" applyFill="1"/>
    <xf numFmtId="0" fontId="2" fillId="0" borderId="0" xfId="0" applyFont="1"/>
    <xf numFmtId="43" fontId="0" fillId="0" borderId="0" xfId="0" applyNumberFormat="1"/>
    <xf numFmtId="170" fontId="3" fillId="0" borderId="1" xfId="1" applyNumberFormat="1" applyFont="1" applyBorder="1" applyAlignment="1">
      <alignment horizontal="right" wrapText="1"/>
    </xf>
    <xf numFmtId="170" fontId="3" fillId="0" borderId="1" xfId="1" applyNumberFormat="1" applyFont="1" applyBorder="1" applyAlignment="1"/>
    <xf numFmtId="9" fontId="3" fillId="0" borderId="1" xfId="2" applyFont="1" applyBorder="1" applyAlignment="1"/>
    <xf numFmtId="170" fontId="2" fillId="0" borderId="1" xfId="1" applyNumberFormat="1" applyFont="1" applyBorder="1" applyAlignment="1">
      <alignment horizontal="right" wrapText="1"/>
    </xf>
    <xf numFmtId="170" fontId="0" fillId="0" borderId="1" xfId="1" applyNumberFormat="1" applyFont="1" applyBorder="1" applyAlignment="1"/>
    <xf numFmtId="170" fontId="21" fillId="0" borderId="1" xfId="1" applyNumberFormat="1" applyFont="1" applyBorder="1" applyAlignment="1"/>
    <xf numFmtId="9" fontId="20" fillId="0" borderId="1" xfId="2" applyFont="1" applyBorder="1" applyAlignment="1"/>
    <xf numFmtId="170" fontId="0" fillId="0" borderId="1" xfId="1" applyNumberFormat="1" applyFont="1" applyBorder="1" applyAlignment="1">
      <alignment horizontal="right"/>
    </xf>
    <xf numFmtId="0" fontId="0" fillId="13" borderId="0" xfId="0" applyFill="1"/>
    <xf numFmtId="9" fontId="0" fillId="0" borderId="1" xfId="0" applyNumberFormat="1" applyBorder="1"/>
    <xf numFmtId="9" fontId="2" fillId="0" borderId="0" xfId="0" applyNumberFormat="1" applyFont="1"/>
    <xf numFmtId="9" fontId="2" fillId="0" borderId="1" xfId="0" applyNumberFormat="1" applyFont="1" applyBorder="1"/>
    <xf numFmtId="0" fontId="3" fillId="13" borderId="0" xfId="0" applyFont="1" applyFill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70" fontId="0" fillId="0" borderId="0" xfId="1" applyNumberFormat="1" applyFont="1" applyBorder="1" applyAlignment="1"/>
    <xf numFmtId="170" fontId="21" fillId="0" borderId="0" xfId="0" applyNumberFormat="1" applyFont="1"/>
    <xf numFmtId="170" fontId="19" fillId="0" borderId="1" xfId="0" applyNumberFormat="1" applyFont="1" applyBorder="1"/>
    <xf numFmtId="0" fontId="5" fillId="13" borderId="0" xfId="0" applyFont="1" applyFill="1"/>
    <xf numFmtId="9" fontId="11" fillId="0" borderId="0" xfId="2" applyFont="1"/>
    <xf numFmtId="0" fontId="11" fillId="13" borderId="0" xfId="0" applyFont="1" applyFill="1"/>
    <xf numFmtId="0" fontId="2" fillId="0" borderId="15" xfId="0" applyFont="1" applyBorder="1" applyAlignment="1">
      <alignment horizontal="left" wrapText="1"/>
    </xf>
    <xf numFmtId="9" fontId="0" fillId="0" borderId="0" xfId="2" applyFont="1" applyBorder="1" applyAlignment="1"/>
    <xf numFmtId="9" fontId="19" fillId="0" borderId="0" xfId="2" applyFont="1" applyBorder="1"/>
    <xf numFmtId="0" fontId="9" fillId="2" borderId="15" xfId="0" applyFont="1" applyFill="1" applyBorder="1" applyAlignment="1">
      <alignment horizontal="center" vertical="center" wrapText="1"/>
    </xf>
    <xf numFmtId="0" fontId="0" fillId="15" borderId="0" xfId="0" applyFill="1"/>
    <xf numFmtId="0" fontId="3" fillId="15" borderId="0" xfId="0" applyFont="1" applyFill="1"/>
    <xf numFmtId="0" fontId="2" fillId="16" borderId="0" xfId="0" applyFont="1" applyFill="1"/>
    <xf numFmtId="0" fontId="0" fillId="16" borderId="0" xfId="0" applyFill="1"/>
    <xf numFmtId="9" fontId="0" fillId="0" borderId="1" xfId="2" applyFont="1" applyBorder="1"/>
    <xf numFmtId="9" fontId="21" fillId="0" borderId="1" xfId="0" applyNumberFormat="1" applyFont="1" applyBorder="1"/>
    <xf numFmtId="0" fontId="5" fillId="0" borderId="1" xfId="0" applyFont="1" applyBorder="1" applyAlignment="1">
      <alignment horizontal="center" vertical="center" wrapText="1"/>
    </xf>
    <xf numFmtId="9" fontId="21" fillId="0" borderId="0" xfId="0" applyNumberFormat="1" applyFont="1"/>
    <xf numFmtId="0" fontId="11" fillId="17" borderId="0" xfId="0" applyFont="1" applyFill="1"/>
    <xf numFmtId="0" fontId="12" fillId="17" borderId="0" xfId="0" applyFont="1" applyFill="1"/>
    <xf numFmtId="0" fontId="3" fillId="14" borderId="0" xfId="0" applyFont="1" applyFill="1"/>
    <xf numFmtId="0" fontId="2" fillId="0" borderId="0" xfId="0" applyFont="1" applyAlignment="1">
      <alignment horizontal="left" wrapText="1"/>
    </xf>
    <xf numFmtId="0" fontId="3" fillId="16" borderId="0" xfId="0" applyFont="1" applyFill="1"/>
    <xf numFmtId="9" fontId="3" fillId="0" borderId="1" xfId="2" applyFont="1" applyBorder="1" applyAlignment="1">
      <alignment horizontal="center"/>
    </xf>
    <xf numFmtId="172" fontId="3" fillId="0" borderId="1" xfId="2" applyNumberFormat="1" applyFont="1" applyBorder="1" applyAlignment="1">
      <alignment horizontal="center"/>
    </xf>
    <xf numFmtId="170" fontId="0" fillId="0" borderId="0" xfId="0" applyNumberFormat="1"/>
    <xf numFmtId="9" fontId="21" fillId="0" borderId="1" xfId="2" applyFont="1" applyBorder="1"/>
    <xf numFmtId="172" fontId="21" fillId="0" borderId="1" xfId="2" applyNumberFormat="1" applyFont="1" applyBorder="1"/>
    <xf numFmtId="170" fontId="0" fillId="0" borderId="1" xfId="1" applyNumberFormat="1" applyFont="1" applyBorder="1" applyAlignment="1">
      <alignment horizontal="center"/>
    </xf>
    <xf numFmtId="0" fontId="22" fillId="0" borderId="1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3" fillId="0" borderId="1" xfId="0" applyFont="1" applyBorder="1" applyAlignment="1">
      <alignment horizontal="center" vertical="center" wrapText="1"/>
    </xf>
    <xf numFmtId="170" fontId="0" fillId="0" borderId="1" xfId="1" applyNumberFormat="1" applyFont="1" applyBorder="1"/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 wrapText="1"/>
    </xf>
    <xf numFmtId="9" fontId="22" fillId="0" borderId="1" xfId="0" applyNumberFormat="1" applyFont="1" applyBorder="1" applyAlignment="1">
      <alignment horizontal="right" vertical="center" wrapText="1"/>
    </xf>
    <xf numFmtId="3" fontId="25" fillId="0" borderId="1" xfId="0" applyNumberFormat="1" applyFont="1" applyBorder="1" applyAlignment="1">
      <alignment horizontal="right" vertical="center" wrapText="1"/>
    </xf>
    <xf numFmtId="0" fontId="26" fillId="0" borderId="1" xfId="0" applyFont="1" applyBorder="1"/>
    <xf numFmtId="0" fontId="26" fillId="0" borderId="1" xfId="0" applyFont="1" applyBorder="1" applyAlignment="1">
      <alignment horizontal="left" vertical="center" wrapText="1"/>
    </xf>
    <xf numFmtId="0" fontId="8" fillId="0" borderId="1" xfId="0" applyFont="1" applyBorder="1"/>
    <xf numFmtId="3" fontId="8" fillId="0" borderId="1" xfId="0" applyNumberFormat="1" applyFont="1" applyBorder="1"/>
    <xf numFmtId="170" fontId="8" fillId="0" borderId="1" xfId="1" applyNumberFormat="1" applyFont="1" applyBorder="1"/>
    <xf numFmtId="9" fontId="8" fillId="0" borderId="1" xfId="2" applyFont="1" applyBorder="1"/>
    <xf numFmtId="172" fontId="8" fillId="0" borderId="1" xfId="2" applyNumberFormat="1" applyFont="1" applyBorder="1"/>
    <xf numFmtId="9" fontId="5" fillId="0" borderId="1" xfId="0" applyNumberFormat="1" applyFont="1" applyBorder="1"/>
    <xf numFmtId="0" fontId="8" fillId="0" borderId="1" xfId="0" applyFont="1" applyBorder="1" applyAlignment="1">
      <alignment horizontal="left" vertical="center" wrapText="1"/>
    </xf>
    <xf numFmtId="9" fontId="8" fillId="0" borderId="1" xfId="0" applyNumberFormat="1" applyFont="1" applyBorder="1"/>
    <xf numFmtId="0" fontId="9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3" fontId="26" fillId="0" borderId="1" xfId="0" applyNumberFormat="1" applyFont="1" applyBorder="1" applyAlignment="1">
      <alignment horizontal="center" vertical="center" wrapText="1"/>
    </xf>
    <xf numFmtId="0" fontId="26" fillId="0" borderId="0" xfId="0" applyFont="1"/>
    <xf numFmtId="170" fontId="26" fillId="0" borderId="0" xfId="1" applyNumberFormat="1" applyFont="1"/>
    <xf numFmtId="170" fontId="5" fillId="0" borderId="1" xfId="1" applyNumberFormat="1" applyFont="1" applyFill="1" applyBorder="1" applyAlignment="1">
      <alignment horizontal="center" vertical="center" wrapText="1"/>
    </xf>
    <xf numFmtId="170" fontId="5" fillId="0" borderId="1" xfId="1" applyNumberFormat="1" applyFont="1" applyBorder="1" applyAlignment="1">
      <alignment horizontal="center" vertical="center" wrapText="1"/>
    </xf>
    <xf numFmtId="171" fontId="5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170" fontId="8" fillId="0" borderId="1" xfId="1" applyNumberFormat="1" applyFont="1" applyBorder="1" applyAlignment="1">
      <alignment vertical="center"/>
    </xf>
    <xf numFmtId="3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70" fontId="8" fillId="0" borderId="0" xfId="1" applyNumberFormat="1" applyFont="1"/>
    <xf numFmtId="170" fontId="26" fillId="0" borderId="0" xfId="0" applyNumberFormat="1" applyFont="1"/>
    <xf numFmtId="4" fontId="26" fillId="0" borderId="1" xfId="1" applyNumberFormat="1" applyFont="1" applyFill="1" applyBorder="1" applyAlignment="1">
      <alignment vertical="center" wrapText="1"/>
    </xf>
    <xf numFmtId="170" fontId="26" fillId="0" borderId="0" xfId="1" applyNumberFormat="1" applyFont="1" applyFill="1"/>
    <xf numFmtId="0" fontId="27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 wrapText="1"/>
    </xf>
    <xf numFmtId="4" fontId="26" fillId="0" borderId="1" xfId="1" applyNumberFormat="1" applyFont="1" applyBorder="1" applyAlignment="1">
      <alignment vertical="center" wrapText="1"/>
    </xf>
    <xf numFmtId="3" fontId="26" fillId="0" borderId="1" xfId="1" applyNumberFormat="1" applyFont="1" applyBorder="1" applyAlignment="1">
      <alignment horizontal="right" vertical="center" wrapText="1"/>
    </xf>
    <xf numFmtId="43" fontId="26" fillId="0" borderId="0" xfId="0" applyNumberFormat="1" applyFont="1"/>
    <xf numFmtId="3" fontId="26" fillId="0" borderId="0" xfId="0" applyNumberFormat="1" applyFont="1"/>
    <xf numFmtId="165" fontId="26" fillId="0" borderId="1" xfId="1" applyNumberFormat="1" applyFont="1" applyBorder="1" applyAlignment="1">
      <alignment horizontal="center" vertical="center" wrapText="1"/>
    </xf>
    <xf numFmtId="165" fontId="26" fillId="0" borderId="1" xfId="1" applyNumberFormat="1" applyFont="1" applyBorder="1" applyAlignment="1">
      <alignment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165" fontId="26" fillId="3" borderId="1" xfId="1" applyNumberFormat="1" applyFont="1" applyFill="1" applyBorder="1" applyAlignment="1">
      <alignment horizontal="center" vertical="center" wrapText="1"/>
    </xf>
    <xf numFmtId="165" fontId="26" fillId="3" borderId="1" xfId="2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vertical="center" wrapText="1"/>
    </xf>
    <xf numFmtId="0" fontId="26" fillId="13" borderId="0" xfId="0" applyFont="1" applyFill="1"/>
    <xf numFmtId="172" fontId="26" fillId="13" borderId="0" xfId="2" applyNumberFormat="1" applyFont="1" applyFill="1"/>
    <xf numFmtId="0" fontId="26" fillId="17" borderId="0" xfId="0" applyFont="1" applyFill="1"/>
    <xf numFmtId="0" fontId="9" fillId="17" borderId="0" xfId="0" applyFont="1" applyFill="1"/>
    <xf numFmtId="0" fontId="26" fillId="5" borderId="1" xfId="0" applyFont="1" applyFill="1" applyBorder="1"/>
    <xf numFmtId="173" fontId="26" fillId="0" borderId="0" xfId="0" applyNumberFormat="1" applyFont="1"/>
    <xf numFmtId="170" fontId="9" fillId="0" borderId="0" xfId="0" applyNumberFormat="1" applyFont="1"/>
    <xf numFmtId="170" fontId="9" fillId="0" borderId="0" xfId="1" applyNumberFormat="1" applyFont="1" applyFill="1"/>
    <xf numFmtId="4" fontId="26" fillId="0" borderId="0" xfId="1" applyNumberFormat="1" applyFont="1" applyFill="1" applyBorder="1" applyAlignment="1">
      <alignment vertical="center" wrapText="1"/>
    </xf>
    <xf numFmtId="3" fontId="26" fillId="4" borderId="1" xfId="1" applyNumberFormat="1" applyFont="1" applyFill="1" applyBorder="1" applyAlignment="1">
      <alignment horizontal="right" vertical="center" wrapText="1"/>
    </xf>
    <xf numFmtId="9" fontId="26" fillId="18" borderId="0" xfId="2" applyFont="1" applyFill="1"/>
    <xf numFmtId="164" fontId="0" fillId="0" borderId="0" xfId="1" applyFont="1"/>
    <xf numFmtId="0" fontId="29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170" fontId="21" fillId="0" borderId="16" xfId="0" applyNumberFormat="1" applyFont="1" applyBorder="1"/>
    <xf numFmtId="43" fontId="11" fillId="0" borderId="0" xfId="0" applyNumberFormat="1" applyFont="1"/>
    <xf numFmtId="164" fontId="26" fillId="0" borderId="0" xfId="1" applyFont="1"/>
    <xf numFmtId="164" fontId="11" fillId="0" borderId="0" xfId="1" applyFont="1"/>
    <xf numFmtId="0" fontId="8" fillId="0" borderId="0" xfId="6" applyFont="1" applyAlignment="1">
      <alignment horizontal="left" vertical="center" wrapText="1"/>
    </xf>
    <xf numFmtId="0" fontId="8" fillId="0" borderId="0" xfId="3" applyFont="1" applyAlignment="1">
      <alignment horizontal="left" vertical="center" wrapText="1"/>
    </xf>
    <xf numFmtId="0" fontId="5" fillId="8" borderId="6" xfId="3" applyFont="1" applyFill="1" applyBorder="1" applyAlignment="1">
      <alignment horizontal="center" vertical="center" wrapText="1"/>
    </xf>
    <xf numFmtId="0" fontId="5" fillId="8" borderId="10" xfId="3" applyFont="1" applyFill="1" applyBorder="1" applyAlignment="1">
      <alignment horizontal="center" vertical="center" wrapText="1"/>
    </xf>
    <xf numFmtId="0" fontId="5" fillId="8" borderId="4" xfId="3" applyFont="1" applyFill="1" applyBorder="1" applyAlignment="1">
      <alignment horizontal="center" vertical="center" wrapText="1"/>
    </xf>
    <xf numFmtId="0" fontId="5" fillId="8" borderId="3" xfId="3" applyFont="1" applyFill="1" applyBorder="1" applyAlignment="1">
      <alignment horizontal="center" vertical="center" wrapText="1"/>
    </xf>
    <xf numFmtId="0" fontId="5" fillId="8" borderId="2" xfId="3" applyFont="1" applyFill="1" applyBorder="1" applyAlignment="1">
      <alignment horizontal="center" vertical="center" wrapText="1"/>
    </xf>
    <xf numFmtId="0" fontId="6" fillId="0" borderId="0" xfId="6" applyFont="1" applyAlignment="1">
      <alignment horizontal="left" vertical="center" wrapText="1"/>
    </xf>
    <xf numFmtId="0" fontId="8" fillId="0" borderId="0" xfId="6" applyFont="1"/>
    <xf numFmtId="0" fontId="5" fillId="9" borderId="9" xfId="3" applyFont="1" applyFill="1" applyBorder="1" applyAlignment="1">
      <alignment horizontal="center" vertical="center" wrapText="1"/>
    </xf>
    <xf numFmtId="0" fontId="5" fillId="9" borderId="11" xfId="3" applyFont="1" applyFill="1" applyBorder="1" applyAlignment="1">
      <alignment horizontal="center" vertical="center" wrapText="1"/>
    </xf>
    <xf numFmtId="0" fontId="5" fillId="8" borderId="9" xfId="3" applyFont="1" applyFill="1" applyBorder="1" applyAlignment="1">
      <alignment horizontal="center" vertical="center" wrapText="1"/>
    </xf>
    <xf numFmtId="0" fontId="5" fillId="8" borderId="11" xfId="3" applyFont="1" applyFill="1" applyBorder="1" applyAlignment="1">
      <alignment horizontal="center" vertical="center" wrapText="1"/>
    </xf>
    <xf numFmtId="0" fontId="5" fillId="9" borderId="10" xfId="3" applyFont="1" applyFill="1" applyBorder="1" applyAlignment="1">
      <alignment horizontal="center" vertical="center" wrapText="1"/>
    </xf>
    <xf numFmtId="0" fontId="5" fillId="9" borderId="13" xfId="3" applyFont="1" applyFill="1" applyBorder="1" applyAlignment="1">
      <alignment horizontal="center" vertical="center" wrapText="1"/>
    </xf>
    <xf numFmtId="0" fontId="5" fillId="9" borderId="12" xfId="3" applyFont="1" applyFill="1" applyBorder="1" applyAlignment="1">
      <alignment horizontal="center" vertical="center" wrapText="1"/>
    </xf>
    <xf numFmtId="0" fontId="5" fillId="8" borderId="13" xfId="3" applyFont="1" applyFill="1" applyBorder="1" applyAlignment="1">
      <alignment horizontal="center" vertical="center" wrapText="1"/>
    </xf>
    <xf numFmtId="0" fontId="5" fillId="8" borderId="12" xfId="3" applyFont="1" applyFill="1" applyBorder="1" applyAlignment="1">
      <alignment horizontal="center" vertical="center" wrapText="1"/>
    </xf>
    <xf numFmtId="0" fontId="5" fillId="9" borderId="6" xfId="3" applyFont="1" applyFill="1" applyBorder="1" applyAlignment="1">
      <alignment horizontal="center" vertical="center" wrapText="1"/>
    </xf>
    <xf numFmtId="0" fontId="5" fillId="10" borderId="1" xfId="3" applyFont="1" applyFill="1" applyBorder="1" applyAlignment="1">
      <alignment horizontal="center" vertical="center" wrapText="1"/>
    </xf>
    <xf numFmtId="0" fontId="8" fillId="10" borderId="1" xfId="3" applyFont="1" applyFill="1" applyBorder="1" applyAlignment="1">
      <alignment horizontal="center" vertical="center" wrapText="1"/>
    </xf>
    <xf numFmtId="0" fontId="2" fillId="0" borderId="14" xfId="3" applyBorder="1" applyAlignment="1">
      <alignment horizontal="center" vertical="center" wrapText="1"/>
    </xf>
    <xf numFmtId="0" fontId="5" fillId="0" borderId="1" xfId="3" applyFont="1" applyBorder="1" applyAlignment="1">
      <alignment horizontal="left" vertical="center" wrapText="1"/>
    </xf>
    <xf numFmtId="0" fontId="3" fillId="0" borderId="1" xfId="3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22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</cellXfs>
  <cellStyles count="12">
    <cellStyle name="Comma" xfId="1" builtinId="3"/>
    <cellStyle name="Comma 2" xfId="8" xr:uid="{88242C74-1702-437D-965C-26127C9B9528}"/>
    <cellStyle name="Comma 3" xfId="11" xr:uid="{F8371ABA-8503-4FA6-9A05-A931FAA4CD8B}"/>
    <cellStyle name="Comma_base calzado 6401" xfId="5" xr:uid="{748BB2A7-FC03-47D3-966C-3491FF878C95}"/>
    <cellStyle name="Comma_calzado 6401" xfId="7" xr:uid="{4DEDADB8-287B-4703-ABE6-C6CFC700C46B}"/>
    <cellStyle name="Normal" xfId="0" builtinId="0"/>
    <cellStyle name="Normal 2" xfId="3" xr:uid="{3A58FC56-5FE6-4C71-9278-F83C688218EF}"/>
    <cellStyle name="Normal 3" xfId="4" xr:uid="{18690A2D-FD19-4653-9E66-A35D0814941F}"/>
    <cellStyle name="Normal 3 2" xfId="6" xr:uid="{3B6B2E4B-F489-4EDC-B21D-51415E99D975}"/>
    <cellStyle name="Percent" xfId="2" builtinId="5"/>
    <cellStyle name="Percent 2" xfId="9" xr:uid="{AD1CCA32-90E4-4CD4-9A44-7C050B78BE28}"/>
    <cellStyle name="Percent 3" xfId="10" xr:uid="{D0A93B85-4C54-422E-9098-8EFD11A0E8F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ocumentos\DASA%20Work\Clientes\Metaldom\Caso%20Turquia%204%20(2025)\Analisis%20Importaciones%20Anexo%201\Anexo%201%20Turquia%20Varillas%20a%20Junio%20(Hecho%20en%20Septiembre%2012).xlsx" TargetMode="External"/><Relationship Id="rId1" Type="http://schemas.openxmlformats.org/officeDocument/2006/relationships/externalLinkPath" Target="file:///C:\Documentos\DASA%20Work\Clientes\Metaldom\Caso%20Turquia%204%20(2025)\Analisis%20Importaciones%20Anexo%201\Anexo%201%20Turquia%20Varillas%20a%20Junio%20(Hecho%20en%20Septiembre%2012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Documentos\DASA%20Work\Clientes\Metaldom\Caso%20Turquia%204%20(2025)\Recurrencia%20del%20dano\Analisis%20de%20Dano%20proyecciones%20EBIT.xlsx" TargetMode="External"/><Relationship Id="rId1" Type="http://schemas.openxmlformats.org/officeDocument/2006/relationships/externalLinkPath" Target="file:///C:\Documentos\DASA%20Work\Clientes\Metaldom\Caso%20Turquia%204%20(2025)\Recurrencia%20del%20dano\Analisis%20de%20Dano%20proyecciones%20EBI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exo 1"/>
      <sheetName val="Anexo 1 (A)"/>
      <sheetName val="Anexo 1 (B)"/>
      <sheetName val="Hoja1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exo 3 Producto Jun"/>
      <sheetName val="Anexo 2"/>
      <sheetName val="Analisis de Dano"/>
    </sheetNames>
    <sheetDataSet>
      <sheetData sheetId="0">
        <row r="21">
          <cell r="C21" t="str">
            <v>Utilidad neta (PInv)</v>
          </cell>
        </row>
      </sheetData>
      <sheetData sheetId="1" refreshError="1"/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AD44D-C573-4412-9468-C0A8A97FBEBE}">
  <sheetPr filterMode="1"/>
  <dimension ref="A1:W107"/>
  <sheetViews>
    <sheetView zoomScale="60" zoomScaleNormal="60" workbookViewId="0">
      <selection activeCell="V19" sqref="V19"/>
    </sheetView>
  </sheetViews>
  <sheetFormatPr defaultColWidth="11.453125" defaultRowHeight="12.5" x14ac:dyDescent="0.25"/>
  <cols>
    <col min="1" max="1" width="11.453125" style="16"/>
    <col min="2" max="2" width="11.54296875" style="16" customWidth="1"/>
    <col min="3" max="3" width="32.7265625" style="16" customWidth="1"/>
    <col min="4" max="4" width="18.453125" style="16" hidden="1" customWidth="1"/>
    <col min="5" max="8" width="16.1796875" style="16" customWidth="1"/>
    <col min="9" max="9" width="16.1796875" style="16" hidden="1" customWidth="1"/>
    <col min="10" max="10" width="15" style="16" hidden="1" customWidth="1"/>
    <col min="11" max="13" width="15" style="16" customWidth="1"/>
    <col min="14" max="16" width="16" style="16" customWidth="1"/>
    <col min="17" max="17" width="17.453125" style="16" customWidth="1"/>
    <col min="18" max="23" width="8.453125" style="16" customWidth="1"/>
    <col min="24" max="26" width="11.453125" style="16"/>
    <col min="27" max="33" width="13.453125" style="16" customWidth="1"/>
    <col min="34" max="255" width="11.453125" style="16"/>
    <col min="256" max="256" width="6.453125" style="16" customWidth="1"/>
    <col min="257" max="257" width="59.453125" style="16" customWidth="1"/>
    <col min="258" max="258" width="18.453125" style="16" customWidth="1"/>
    <col min="259" max="260" width="17.453125" style="16" customWidth="1"/>
    <col min="261" max="261" width="28.453125" style="16" customWidth="1"/>
    <col min="262" max="273" width="17.453125" style="16" customWidth="1"/>
    <col min="274" max="279" width="8.453125" style="16" customWidth="1"/>
    <col min="280" max="282" width="11.453125" style="16"/>
    <col min="283" max="289" width="13.453125" style="16" customWidth="1"/>
    <col min="290" max="511" width="11.453125" style="16"/>
    <col min="512" max="512" width="6.453125" style="16" customWidth="1"/>
    <col min="513" max="513" width="59.453125" style="16" customWidth="1"/>
    <col min="514" max="514" width="18.453125" style="16" customWidth="1"/>
    <col min="515" max="516" width="17.453125" style="16" customWidth="1"/>
    <col min="517" max="517" width="28.453125" style="16" customWidth="1"/>
    <col min="518" max="529" width="17.453125" style="16" customWidth="1"/>
    <col min="530" max="535" width="8.453125" style="16" customWidth="1"/>
    <col min="536" max="538" width="11.453125" style="16"/>
    <col min="539" max="545" width="13.453125" style="16" customWidth="1"/>
    <col min="546" max="767" width="11.453125" style="16"/>
    <col min="768" max="768" width="6.453125" style="16" customWidth="1"/>
    <col min="769" max="769" width="59.453125" style="16" customWidth="1"/>
    <col min="770" max="770" width="18.453125" style="16" customWidth="1"/>
    <col min="771" max="772" width="17.453125" style="16" customWidth="1"/>
    <col min="773" max="773" width="28.453125" style="16" customWidth="1"/>
    <col min="774" max="785" width="17.453125" style="16" customWidth="1"/>
    <col min="786" max="791" width="8.453125" style="16" customWidth="1"/>
    <col min="792" max="794" width="11.453125" style="16"/>
    <col min="795" max="801" width="13.453125" style="16" customWidth="1"/>
    <col min="802" max="1023" width="11.453125" style="16"/>
    <col min="1024" max="1024" width="6.453125" style="16" customWidth="1"/>
    <col min="1025" max="1025" width="59.453125" style="16" customWidth="1"/>
    <col min="1026" max="1026" width="18.453125" style="16" customWidth="1"/>
    <col min="1027" max="1028" width="17.453125" style="16" customWidth="1"/>
    <col min="1029" max="1029" width="28.453125" style="16" customWidth="1"/>
    <col min="1030" max="1041" width="17.453125" style="16" customWidth="1"/>
    <col min="1042" max="1047" width="8.453125" style="16" customWidth="1"/>
    <col min="1048" max="1050" width="11.453125" style="16"/>
    <col min="1051" max="1057" width="13.453125" style="16" customWidth="1"/>
    <col min="1058" max="1279" width="11.453125" style="16"/>
    <col min="1280" max="1280" width="6.453125" style="16" customWidth="1"/>
    <col min="1281" max="1281" width="59.453125" style="16" customWidth="1"/>
    <col min="1282" max="1282" width="18.453125" style="16" customWidth="1"/>
    <col min="1283" max="1284" width="17.453125" style="16" customWidth="1"/>
    <col min="1285" max="1285" width="28.453125" style="16" customWidth="1"/>
    <col min="1286" max="1297" width="17.453125" style="16" customWidth="1"/>
    <col min="1298" max="1303" width="8.453125" style="16" customWidth="1"/>
    <col min="1304" max="1306" width="11.453125" style="16"/>
    <col min="1307" max="1313" width="13.453125" style="16" customWidth="1"/>
    <col min="1314" max="1535" width="11.453125" style="16"/>
    <col min="1536" max="1536" width="6.453125" style="16" customWidth="1"/>
    <col min="1537" max="1537" width="59.453125" style="16" customWidth="1"/>
    <col min="1538" max="1538" width="18.453125" style="16" customWidth="1"/>
    <col min="1539" max="1540" width="17.453125" style="16" customWidth="1"/>
    <col min="1541" max="1541" width="28.453125" style="16" customWidth="1"/>
    <col min="1542" max="1553" width="17.453125" style="16" customWidth="1"/>
    <col min="1554" max="1559" width="8.453125" style="16" customWidth="1"/>
    <col min="1560" max="1562" width="11.453125" style="16"/>
    <col min="1563" max="1569" width="13.453125" style="16" customWidth="1"/>
    <col min="1570" max="1791" width="11.453125" style="16"/>
    <col min="1792" max="1792" width="6.453125" style="16" customWidth="1"/>
    <col min="1793" max="1793" width="59.453125" style="16" customWidth="1"/>
    <col min="1794" max="1794" width="18.453125" style="16" customWidth="1"/>
    <col min="1795" max="1796" width="17.453125" style="16" customWidth="1"/>
    <col min="1797" max="1797" width="28.453125" style="16" customWidth="1"/>
    <col min="1798" max="1809" width="17.453125" style="16" customWidth="1"/>
    <col min="1810" max="1815" width="8.453125" style="16" customWidth="1"/>
    <col min="1816" max="1818" width="11.453125" style="16"/>
    <col min="1819" max="1825" width="13.453125" style="16" customWidth="1"/>
    <col min="1826" max="2047" width="11.453125" style="16"/>
    <col min="2048" max="2048" width="6.453125" style="16" customWidth="1"/>
    <col min="2049" max="2049" width="59.453125" style="16" customWidth="1"/>
    <col min="2050" max="2050" width="18.453125" style="16" customWidth="1"/>
    <col min="2051" max="2052" width="17.453125" style="16" customWidth="1"/>
    <col min="2053" max="2053" width="28.453125" style="16" customWidth="1"/>
    <col min="2054" max="2065" width="17.453125" style="16" customWidth="1"/>
    <col min="2066" max="2071" width="8.453125" style="16" customWidth="1"/>
    <col min="2072" max="2074" width="11.453125" style="16"/>
    <col min="2075" max="2081" width="13.453125" style="16" customWidth="1"/>
    <col min="2082" max="2303" width="11.453125" style="16"/>
    <col min="2304" max="2304" width="6.453125" style="16" customWidth="1"/>
    <col min="2305" max="2305" width="59.453125" style="16" customWidth="1"/>
    <col min="2306" max="2306" width="18.453125" style="16" customWidth="1"/>
    <col min="2307" max="2308" width="17.453125" style="16" customWidth="1"/>
    <col min="2309" max="2309" width="28.453125" style="16" customWidth="1"/>
    <col min="2310" max="2321" width="17.453125" style="16" customWidth="1"/>
    <col min="2322" max="2327" width="8.453125" style="16" customWidth="1"/>
    <col min="2328" max="2330" width="11.453125" style="16"/>
    <col min="2331" max="2337" width="13.453125" style="16" customWidth="1"/>
    <col min="2338" max="2559" width="11.453125" style="16"/>
    <col min="2560" max="2560" width="6.453125" style="16" customWidth="1"/>
    <col min="2561" max="2561" width="59.453125" style="16" customWidth="1"/>
    <col min="2562" max="2562" width="18.453125" style="16" customWidth="1"/>
    <col min="2563" max="2564" width="17.453125" style="16" customWidth="1"/>
    <col min="2565" max="2565" width="28.453125" style="16" customWidth="1"/>
    <col min="2566" max="2577" width="17.453125" style="16" customWidth="1"/>
    <col min="2578" max="2583" width="8.453125" style="16" customWidth="1"/>
    <col min="2584" max="2586" width="11.453125" style="16"/>
    <col min="2587" max="2593" width="13.453125" style="16" customWidth="1"/>
    <col min="2594" max="2815" width="11.453125" style="16"/>
    <col min="2816" max="2816" width="6.453125" style="16" customWidth="1"/>
    <col min="2817" max="2817" width="59.453125" style="16" customWidth="1"/>
    <col min="2818" max="2818" width="18.453125" style="16" customWidth="1"/>
    <col min="2819" max="2820" width="17.453125" style="16" customWidth="1"/>
    <col min="2821" max="2821" width="28.453125" style="16" customWidth="1"/>
    <col min="2822" max="2833" width="17.453125" style="16" customWidth="1"/>
    <col min="2834" max="2839" width="8.453125" style="16" customWidth="1"/>
    <col min="2840" max="2842" width="11.453125" style="16"/>
    <col min="2843" max="2849" width="13.453125" style="16" customWidth="1"/>
    <col min="2850" max="3071" width="11.453125" style="16"/>
    <col min="3072" max="3072" width="6.453125" style="16" customWidth="1"/>
    <col min="3073" max="3073" width="59.453125" style="16" customWidth="1"/>
    <col min="3074" max="3074" width="18.453125" style="16" customWidth="1"/>
    <col min="3075" max="3076" width="17.453125" style="16" customWidth="1"/>
    <col min="3077" max="3077" width="28.453125" style="16" customWidth="1"/>
    <col min="3078" max="3089" width="17.453125" style="16" customWidth="1"/>
    <col min="3090" max="3095" width="8.453125" style="16" customWidth="1"/>
    <col min="3096" max="3098" width="11.453125" style="16"/>
    <col min="3099" max="3105" width="13.453125" style="16" customWidth="1"/>
    <col min="3106" max="3327" width="11.453125" style="16"/>
    <col min="3328" max="3328" width="6.453125" style="16" customWidth="1"/>
    <col min="3329" max="3329" width="59.453125" style="16" customWidth="1"/>
    <col min="3330" max="3330" width="18.453125" style="16" customWidth="1"/>
    <col min="3331" max="3332" width="17.453125" style="16" customWidth="1"/>
    <col min="3333" max="3333" width="28.453125" style="16" customWidth="1"/>
    <col min="3334" max="3345" width="17.453125" style="16" customWidth="1"/>
    <col min="3346" max="3351" width="8.453125" style="16" customWidth="1"/>
    <col min="3352" max="3354" width="11.453125" style="16"/>
    <col min="3355" max="3361" width="13.453125" style="16" customWidth="1"/>
    <col min="3362" max="3583" width="11.453125" style="16"/>
    <col min="3584" max="3584" width="6.453125" style="16" customWidth="1"/>
    <col min="3585" max="3585" width="59.453125" style="16" customWidth="1"/>
    <col min="3586" max="3586" width="18.453125" style="16" customWidth="1"/>
    <col min="3587" max="3588" width="17.453125" style="16" customWidth="1"/>
    <col min="3589" max="3589" width="28.453125" style="16" customWidth="1"/>
    <col min="3590" max="3601" width="17.453125" style="16" customWidth="1"/>
    <col min="3602" max="3607" width="8.453125" style="16" customWidth="1"/>
    <col min="3608" max="3610" width="11.453125" style="16"/>
    <col min="3611" max="3617" width="13.453125" style="16" customWidth="1"/>
    <col min="3618" max="3839" width="11.453125" style="16"/>
    <col min="3840" max="3840" width="6.453125" style="16" customWidth="1"/>
    <col min="3841" max="3841" width="59.453125" style="16" customWidth="1"/>
    <col min="3842" max="3842" width="18.453125" style="16" customWidth="1"/>
    <col min="3843" max="3844" width="17.453125" style="16" customWidth="1"/>
    <col min="3845" max="3845" width="28.453125" style="16" customWidth="1"/>
    <col min="3846" max="3857" width="17.453125" style="16" customWidth="1"/>
    <col min="3858" max="3863" width="8.453125" style="16" customWidth="1"/>
    <col min="3864" max="3866" width="11.453125" style="16"/>
    <col min="3867" max="3873" width="13.453125" style="16" customWidth="1"/>
    <col min="3874" max="4095" width="11.453125" style="16"/>
    <col min="4096" max="4096" width="6.453125" style="16" customWidth="1"/>
    <col min="4097" max="4097" width="59.453125" style="16" customWidth="1"/>
    <col min="4098" max="4098" width="18.453125" style="16" customWidth="1"/>
    <col min="4099" max="4100" width="17.453125" style="16" customWidth="1"/>
    <col min="4101" max="4101" width="28.453125" style="16" customWidth="1"/>
    <col min="4102" max="4113" width="17.453125" style="16" customWidth="1"/>
    <col min="4114" max="4119" width="8.453125" style="16" customWidth="1"/>
    <col min="4120" max="4122" width="11.453125" style="16"/>
    <col min="4123" max="4129" width="13.453125" style="16" customWidth="1"/>
    <col min="4130" max="4351" width="11.453125" style="16"/>
    <col min="4352" max="4352" width="6.453125" style="16" customWidth="1"/>
    <col min="4353" max="4353" width="59.453125" style="16" customWidth="1"/>
    <col min="4354" max="4354" width="18.453125" style="16" customWidth="1"/>
    <col min="4355" max="4356" width="17.453125" style="16" customWidth="1"/>
    <col min="4357" max="4357" width="28.453125" style="16" customWidth="1"/>
    <col min="4358" max="4369" width="17.453125" style="16" customWidth="1"/>
    <col min="4370" max="4375" width="8.453125" style="16" customWidth="1"/>
    <col min="4376" max="4378" width="11.453125" style="16"/>
    <col min="4379" max="4385" width="13.453125" style="16" customWidth="1"/>
    <col min="4386" max="4607" width="11.453125" style="16"/>
    <col min="4608" max="4608" width="6.453125" style="16" customWidth="1"/>
    <col min="4609" max="4609" width="59.453125" style="16" customWidth="1"/>
    <col min="4610" max="4610" width="18.453125" style="16" customWidth="1"/>
    <col min="4611" max="4612" width="17.453125" style="16" customWidth="1"/>
    <col min="4613" max="4613" width="28.453125" style="16" customWidth="1"/>
    <col min="4614" max="4625" width="17.453125" style="16" customWidth="1"/>
    <col min="4626" max="4631" width="8.453125" style="16" customWidth="1"/>
    <col min="4632" max="4634" width="11.453125" style="16"/>
    <col min="4635" max="4641" width="13.453125" style="16" customWidth="1"/>
    <col min="4642" max="4863" width="11.453125" style="16"/>
    <col min="4864" max="4864" width="6.453125" style="16" customWidth="1"/>
    <col min="4865" max="4865" width="59.453125" style="16" customWidth="1"/>
    <col min="4866" max="4866" width="18.453125" style="16" customWidth="1"/>
    <col min="4867" max="4868" width="17.453125" style="16" customWidth="1"/>
    <col min="4869" max="4869" width="28.453125" style="16" customWidth="1"/>
    <col min="4870" max="4881" width="17.453125" style="16" customWidth="1"/>
    <col min="4882" max="4887" width="8.453125" style="16" customWidth="1"/>
    <col min="4888" max="4890" width="11.453125" style="16"/>
    <col min="4891" max="4897" width="13.453125" style="16" customWidth="1"/>
    <col min="4898" max="5119" width="11.453125" style="16"/>
    <col min="5120" max="5120" width="6.453125" style="16" customWidth="1"/>
    <col min="5121" max="5121" width="59.453125" style="16" customWidth="1"/>
    <col min="5122" max="5122" width="18.453125" style="16" customWidth="1"/>
    <col min="5123" max="5124" width="17.453125" style="16" customWidth="1"/>
    <col min="5125" max="5125" width="28.453125" style="16" customWidth="1"/>
    <col min="5126" max="5137" width="17.453125" style="16" customWidth="1"/>
    <col min="5138" max="5143" width="8.453125" style="16" customWidth="1"/>
    <col min="5144" max="5146" width="11.453125" style="16"/>
    <col min="5147" max="5153" width="13.453125" style="16" customWidth="1"/>
    <col min="5154" max="5375" width="11.453125" style="16"/>
    <col min="5376" max="5376" width="6.453125" style="16" customWidth="1"/>
    <col min="5377" max="5377" width="59.453125" style="16" customWidth="1"/>
    <col min="5378" max="5378" width="18.453125" style="16" customWidth="1"/>
    <col min="5379" max="5380" width="17.453125" style="16" customWidth="1"/>
    <col min="5381" max="5381" width="28.453125" style="16" customWidth="1"/>
    <col min="5382" max="5393" width="17.453125" style="16" customWidth="1"/>
    <col min="5394" max="5399" width="8.453125" style="16" customWidth="1"/>
    <col min="5400" max="5402" width="11.453125" style="16"/>
    <col min="5403" max="5409" width="13.453125" style="16" customWidth="1"/>
    <col min="5410" max="5631" width="11.453125" style="16"/>
    <col min="5632" max="5632" width="6.453125" style="16" customWidth="1"/>
    <col min="5633" max="5633" width="59.453125" style="16" customWidth="1"/>
    <col min="5634" max="5634" width="18.453125" style="16" customWidth="1"/>
    <col min="5635" max="5636" width="17.453125" style="16" customWidth="1"/>
    <col min="5637" max="5637" width="28.453125" style="16" customWidth="1"/>
    <col min="5638" max="5649" width="17.453125" style="16" customWidth="1"/>
    <col min="5650" max="5655" width="8.453125" style="16" customWidth="1"/>
    <col min="5656" max="5658" width="11.453125" style="16"/>
    <col min="5659" max="5665" width="13.453125" style="16" customWidth="1"/>
    <col min="5666" max="5887" width="11.453125" style="16"/>
    <col min="5888" max="5888" width="6.453125" style="16" customWidth="1"/>
    <col min="5889" max="5889" width="59.453125" style="16" customWidth="1"/>
    <col min="5890" max="5890" width="18.453125" style="16" customWidth="1"/>
    <col min="5891" max="5892" width="17.453125" style="16" customWidth="1"/>
    <col min="5893" max="5893" width="28.453125" style="16" customWidth="1"/>
    <col min="5894" max="5905" width="17.453125" style="16" customWidth="1"/>
    <col min="5906" max="5911" width="8.453125" style="16" customWidth="1"/>
    <col min="5912" max="5914" width="11.453125" style="16"/>
    <col min="5915" max="5921" width="13.453125" style="16" customWidth="1"/>
    <col min="5922" max="6143" width="11.453125" style="16"/>
    <col min="6144" max="6144" width="6.453125" style="16" customWidth="1"/>
    <col min="6145" max="6145" width="59.453125" style="16" customWidth="1"/>
    <col min="6146" max="6146" width="18.453125" style="16" customWidth="1"/>
    <col min="6147" max="6148" width="17.453125" style="16" customWidth="1"/>
    <col min="6149" max="6149" width="28.453125" style="16" customWidth="1"/>
    <col min="6150" max="6161" width="17.453125" style="16" customWidth="1"/>
    <col min="6162" max="6167" width="8.453125" style="16" customWidth="1"/>
    <col min="6168" max="6170" width="11.453125" style="16"/>
    <col min="6171" max="6177" width="13.453125" style="16" customWidth="1"/>
    <col min="6178" max="6399" width="11.453125" style="16"/>
    <col min="6400" max="6400" width="6.453125" style="16" customWidth="1"/>
    <col min="6401" max="6401" width="59.453125" style="16" customWidth="1"/>
    <col min="6402" max="6402" width="18.453125" style="16" customWidth="1"/>
    <col min="6403" max="6404" width="17.453125" style="16" customWidth="1"/>
    <col min="6405" max="6405" width="28.453125" style="16" customWidth="1"/>
    <col min="6406" max="6417" width="17.453125" style="16" customWidth="1"/>
    <col min="6418" max="6423" width="8.453125" style="16" customWidth="1"/>
    <col min="6424" max="6426" width="11.453125" style="16"/>
    <col min="6427" max="6433" width="13.453125" style="16" customWidth="1"/>
    <col min="6434" max="6655" width="11.453125" style="16"/>
    <col min="6656" max="6656" width="6.453125" style="16" customWidth="1"/>
    <col min="6657" max="6657" width="59.453125" style="16" customWidth="1"/>
    <col min="6658" max="6658" width="18.453125" style="16" customWidth="1"/>
    <col min="6659" max="6660" width="17.453125" style="16" customWidth="1"/>
    <col min="6661" max="6661" width="28.453125" style="16" customWidth="1"/>
    <col min="6662" max="6673" width="17.453125" style="16" customWidth="1"/>
    <col min="6674" max="6679" width="8.453125" style="16" customWidth="1"/>
    <col min="6680" max="6682" width="11.453125" style="16"/>
    <col min="6683" max="6689" width="13.453125" style="16" customWidth="1"/>
    <col min="6690" max="6911" width="11.453125" style="16"/>
    <col min="6912" max="6912" width="6.453125" style="16" customWidth="1"/>
    <col min="6913" max="6913" width="59.453125" style="16" customWidth="1"/>
    <col min="6914" max="6914" width="18.453125" style="16" customWidth="1"/>
    <col min="6915" max="6916" width="17.453125" style="16" customWidth="1"/>
    <col min="6917" max="6917" width="28.453125" style="16" customWidth="1"/>
    <col min="6918" max="6929" width="17.453125" style="16" customWidth="1"/>
    <col min="6930" max="6935" width="8.453125" style="16" customWidth="1"/>
    <col min="6936" max="6938" width="11.453125" style="16"/>
    <col min="6939" max="6945" width="13.453125" style="16" customWidth="1"/>
    <col min="6946" max="7167" width="11.453125" style="16"/>
    <col min="7168" max="7168" width="6.453125" style="16" customWidth="1"/>
    <col min="7169" max="7169" width="59.453125" style="16" customWidth="1"/>
    <col min="7170" max="7170" width="18.453125" style="16" customWidth="1"/>
    <col min="7171" max="7172" width="17.453125" style="16" customWidth="1"/>
    <col min="7173" max="7173" width="28.453125" style="16" customWidth="1"/>
    <col min="7174" max="7185" width="17.453125" style="16" customWidth="1"/>
    <col min="7186" max="7191" width="8.453125" style="16" customWidth="1"/>
    <col min="7192" max="7194" width="11.453125" style="16"/>
    <col min="7195" max="7201" width="13.453125" style="16" customWidth="1"/>
    <col min="7202" max="7423" width="11.453125" style="16"/>
    <col min="7424" max="7424" width="6.453125" style="16" customWidth="1"/>
    <col min="7425" max="7425" width="59.453125" style="16" customWidth="1"/>
    <col min="7426" max="7426" width="18.453125" style="16" customWidth="1"/>
    <col min="7427" max="7428" width="17.453125" style="16" customWidth="1"/>
    <col min="7429" max="7429" width="28.453125" style="16" customWidth="1"/>
    <col min="7430" max="7441" width="17.453125" style="16" customWidth="1"/>
    <col min="7442" max="7447" width="8.453125" style="16" customWidth="1"/>
    <col min="7448" max="7450" width="11.453125" style="16"/>
    <col min="7451" max="7457" width="13.453125" style="16" customWidth="1"/>
    <col min="7458" max="7679" width="11.453125" style="16"/>
    <col min="7680" max="7680" width="6.453125" style="16" customWidth="1"/>
    <col min="7681" max="7681" width="59.453125" style="16" customWidth="1"/>
    <col min="7682" max="7682" width="18.453125" style="16" customWidth="1"/>
    <col min="7683" max="7684" width="17.453125" style="16" customWidth="1"/>
    <col min="7685" max="7685" width="28.453125" style="16" customWidth="1"/>
    <col min="7686" max="7697" width="17.453125" style="16" customWidth="1"/>
    <col min="7698" max="7703" width="8.453125" style="16" customWidth="1"/>
    <col min="7704" max="7706" width="11.453125" style="16"/>
    <col min="7707" max="7713" width="13.453125" style="16" customWidth="1"/>
    <col min="7714" max="7935" width="11.453125" style="16"/>
    <col min="7936" max="7936" width="6.453125" style="16" customWidth="1"/>
    <col min="7937" max="7937" width="59.453125" style="16" customWidth="1"/>
    <col min="7938" max="7938" width="18.453125" style="16" customWidth="1"/>
    <col min="7939" max="7940" width="17.453125" style="16" customWidth="1"/>
    <col min="7941" max="7941" width="28.453125" style="16" customWidth="1"/>
    <col min="7942" max="7953" width="17.453125" style="16" customWidth="1"/>
    <col min="7954" max="7959" width="8.453125" style="16" customWidth="1"/>
    <col min="7960" max="7962" width="11.453125" style="16"/>
    <col min="7963" max="7969" width="13.453125" style="16" customWidth="1"/>
    <col min="7970" max="8191" width="11.453125" style="16"/>
    <col min="8192" max="8192" width="6.453125" style="16" customWidth="1"/>
    <col min="8193" max="8193" width="59.453125" style="16" customWidth="1"/>
    <col min="8194" max="8194" width="18.453125" style="16" customWidth="1"/>
    <col min="8195" max="8196" width="17.453125" style="16" customWidth="1"/>
    <col min="8197" max="8197" width="28.453125" style="16" customWidth="1"/>
    <col min="8198" max="8209" width="17.453125" style="16" customWidth="1"/>
    <col min="8210" max="8215" width="8.453125" style="16" customWidth="1"/>
    <col min="8216" max="8218" width="11.453125" style="16"/>
    <col min="8219" max="8225" width="13.453125" style="16" customWidth="1"/>
    <col min="8226" max="8447" width="11.453125" style="16"/>
    <col min="8448" max="8448" width="6.453125" style="16" customWidth="1"/>
    <col min="8449" max="8449" width="59.453125" style="16" customWidth="1"/>
    <col min="8450" max="8450" width="18.453125" style="16" customWidth="1"/>
    <col min="8451" max="8452" width="17.453125" style="16" customWidth="1"/>
    <col min="8453" max="8453" width="28.453125" style="16" customWidth="1"/>
    <col min="8454" max="8465" width="17.453125" style="16" customWidth="1"/>
    <col min="8466" max="8471" width="8.453125" style="16" customWidth="1"/>
    <col min="8472" max="8474" width="11.453125" style="16"/>
    <col min="8475" max="8481" width="13.453125" style="16" customWidth="1"/>
    <col min="8482" max="8703" width="11.453125" style="16"/>
    <col min="8704" max="8704" width="6.453125" style="16" customWidth="1"/>
    <col min="8705" max="8705" width="59.453125" style="16" customWidth="1"/>
    <col min="8706" max="8706" width="18.453125" style="16" customWidth="1"/>
    <col min="8707" max="8708" width="17.453125" style="16" customWidth="1"/>
    <col min="8709" max="8709" width="28.453125" style="16" customWidth="1"/>
    <col min="8710" max="8721" width="17.453125" style="16" customWidth="1"/>
    <col min="8722" max="8727" width="8.453125" style="16" customWidth="1"/>
    <col min="8728" max="8730" width="11.453125" style="16"/>
    <col min="8731" max="8737" width="13.453125" style="16" customWidth="1"/>
    <col min="8738" max="8959" width="11.453125" style="16"/>
    <col min="8960" max="8960" width="6.453125" style="16" customWidth="1"/>
    <col min="8961" max="8961" width="59.453125" style="16" customWidth="1"/>
    <col min="8962" max="8962" width="18.453125" style="16" customWidth="1"/>
    <col min="8963" max="8964" width="17.453125" style="16" customWidth="1"/>
    <col min="8965" max="8965" width="28.453125" style="16" customWidth="1"/>
    <col min="8966" max="8977" width="17.453125" style="16" customWidth="1"/>
    <col min="8978" max="8983" width="8.453125" style="16" customWidth="1"/>
    <col min="8984" max="8986" width="11.453125" style="16"/>
    <col min="8987" max="8993" width="13.453125" style="16" customWidth="1"/>
    <col min="8994" max="9215" width="11.453125" style="16"/>
    <col min="9216" max="9216" width="6.453125" style="16" customWidth="1"/>
    <col min="9217" max="9217" width="59.453125" style="16" customWidth="1"/>
    <col min="9218" max="9218" width="18.453125" style="16" customWidth="1"/>
    <col min="9219" max="9220" width="17.453125" style="16" customWidth="1"/>
    <col min="9221" max="9221" width="28.453125" style="16" customWidth="1"/>
    <col min="9222" max="9233" width="17.453125" style="16" customWidth="1"/>
    <col min="9234" max="9239" width="8.453125" style="16" customWidth="1"/>
    <col min="9240" max="9242" width="11.453125" style="16"/>
    <col min="9243" max="9249" width="13.453125" style="16" customWidth="1"/>
    <col min="9250" max="9471" width="11.453125" style="16"/>
    <col min="9472" max="9472" width="6.453125" style="16" customWidth="1"/>
    <col min="9473" max="9473" width="59.453125" style="16" customWidth="1"/>
    <col min="9474" max="9474" width="18.453125" style="16" customWidth="1"/>
    <col min="9475" max="9476" width="17.453125" style="16" customWidth="1"/>
    <col min="9477" max="9477" width="28.453125" style="16" customWidth="1"/>
    <col min="9478" max="9489" width="17.453125" style="16" customWidth="1"/>
    <col min="9490" max="9495" width="8.453125" style="16" customWidth="1"/>
    <col min="9496" max="9498" width="11.453125" style="16"/>
    <col min="9499" max="9505" width="13.453125" style="16" customWidth="1"/>
    <col min="9506" max="9727" width="11.453125" style="16"/>
    <col min="9728" max="9728" width="6.453125" style="16" customWidth="1"/>
    <col min="9729" max="9729" width="59.453125" style="16" customWidth="1"/>
    <col min="9730" max="9730" width="18.453125" style="16" customWidth="1"/>
    <col min="9731" max="9732" width="17.453125" style="16" customWidth="1"/>
    <col min="9733" max="9733" width="28.453125" style="16" customWidth="1"/>
    <col min="9734" max="9745" width="17.453125" style="16" customWidth="1"/>
    <col min="9746" max="9751" width="8.453125" style="16" customWidth="1"/>
    <col min="9752" max="9754" width="11.453125" style="16"/>
    <col min="9755" max="9761" width="13.453125" style="16" customWidth="1"/>
    <col min="9762" max="9983" width="11.453125" style="16"/>
    <col min="9984" max="9984" width="6.453125" style="16" customWidth="1"/>
    <col min="9985" max="9985" width="59.453125" style="16" customWidth="1"/>
    <col min="9986" max="9986" width="18.453125" style="16" customWidth="1"/>
    <col min="9987" max="9988" width="17.453125" style="16" customWidth="1"/>
    <col min="9989" max="9989" width="28.453125" style="16" customWidth="1"/>
    <col min="9990" max="10001" width="17.453125" style="16" customWidth="1"/>
    <col min="10002" max="10007" width="8.453125" style="16" customWidth="1"/>
    <col min="10008" max="10010" width="11.453125" style="16"/>
    <col min="10011" max="10017" width="13.453125" style="16" customWidth="1"/>
    <col min="10018" max="10239" width="11.453125" style="16"/>
    <col min="10240" max="10240" width="6.453125" style="16" customWidth="1"/>
    <col min="10241" max="10241" width="59.453125" style="16" customWidth="1"/>
    <col min="10242" max="10242" width="18.453125" style="16" customWidth="1"/>
    <col min="10243" max="10244" width="17.453125" style="16" customWidth="1"/>
    <col min="10245" max="10245" width="28.453125" style="16" customWidth="1"/>
    <col min="10246" max="10257" width="17.453125" style="16" customWidth="1"/>
    <col min="10258" max="10263" width="8.453125" style="16" customWidth="1"/>
    <col min="10264" max="10266" width="11.453125" style="16"/>
    <col min="10267" max="10273" width="13.453125" style="16" customWidth="1"/>
    <col min="10274" max="10495" width="11.453125" style="16"/>
    <col min="10496" max="10496" width="6.453125" style="16" customWidth="1"/>
    <col min="10497" max="10497" width="59.453125" style="16" customWidth="1"/>
    <col min="10498" max="10498" width="18.453125" style="16" customWidth="1"/>
    <col min="10499" max="10500" width="17.453125" style="16" customWidth="1"/>
    <col min="10501" max="10501" width="28.453125" style="16" customWidth="1"/>
    <col min="10502" max="10513" width="17.453125" style="16" customWidth="1"/>
    <col min="10514" max="10519" width="8.453125" style="16" customWidth="1"/>
    <col min="10520" max="10522" width="11.453125" style="16"/>
    <col min="10523" max="10529" width="13.453125" style="16" customWidth="1"/>
    <col min="10530" max="10751" width="11.453125" style="16"/>
    <col min="10752" max="10752" width="6.453125" style="16" customWidth="1"/>
    <col min="10753" max="10753" width="59.453125" style="16" customWidth="1"/>
    <col min="10754" max="10754" width="18.453125" style="16" customWidth="1"/>
    <col min="10755" max="10756" width="17.453125" style="16" customWidth="1"/>
    <col min="10757" max="10757" width="28.453125" style="16" customWidth="1"/>
    <col min="10758" max="10769" width="17.453125" style="16" customWidth="1"/>
    <col min="10770" max="10775" width="8.453125" style="16" customWidth="1"/>
    <col min="10776" max="10778" width="11.453125" style="16"/>
    <col min="10779" max="10785" width="13.453125" style="16" customWidth="1"/>
    <col min="10786" max="11007" width="11.453125" style="16"/>
    <col min="11008" max="11008" width="6.453125" style="16" customWidth="1"/>
    <col min="11009" max="11009" width="59.453125" style="16" customWidth="1"/>
    <col min="11010" max="11010" width="18.453125" style="16" customWidth="1"/>
    <col min="11011" max="11012" width="17.453125" style="16" customWidth="1"/>
    <col min="11013" max="11013" width="28.453125" style="16" customWidth="1"/>
    <col min="11014" max="11025" width="17.453125" style="16" customWidth="1"/>
    <col min="11026" max="11031" width="8.453125" style="16" customWidth="1"/>
    <col min="11032" max="11034" width="11.453125" style="16"/>
    <col min="11035" max="11041" width="13.453125" style="16" customWidth="1"/>
    <col min="11042" max="11263" width="11.453125" style="16"/>
    <col min="11264" max="11264" width="6.453125" style="16" customWidth="1"/>
    <col min="11265" max="11265" width="59.453125" style="16" customWidth="1"/>
    <col min="11266" max="11266" width="18.453125" style="16" customWidth="1"/>
    <col min="11267" max="11268" width="17.453125" style="16" customWidth="1"/>
    <col min="11269" max="11269" width="28.453125" style="16" customWidth="1"/>
    <col min="11270" max="11281" width="17.453125" style="16" customWidth="1"/>
    <col min="11282" max="11287" width="8.453125" style="16" customWidth="1"/>
    <col min="11288" max="11290" width="11.453125" style="16"/>
    <col min="11291" max="11297" width="13.453125" style="16" customWidth="1"/>
    <col min="11298" max="11519" width="11.453125" style="16"/>
    <col min="11520" max="11520" width="6.453125" style="16" customWidth="1"/>
    <col min="11521" max="11521" width="59.453125" style="16" customWidth="1"/>
    <col min="11522" max="11522" width="18.453125" style="16" customWidth="1"/>
    <col min="11523" max="11524" width="17.453125" style="16" customWidth="1"/>
    <col min="11525" max="11525" width="28.453125" style="16" customWidth="1"/>
    <col min="11526" max="11537" width="17.453125" style="16" customWidth="1"/>
    <col min="11538" max="11543" width="8.453125" style="16" customWidth="1"/>
    <col min="11544" max="11546" width="11.453125" style="16"/>
    <col min="11547" max="11553" width="13.453125" style="16" customWidth="1"/>
    <col min="11554" max="11775" width="11.453125" style="16"/>
    <col min="11776" max="11776" width="6.453125" style="16" customWidth="1"/>
    <col min="11777" max="11777" width="59.453125" style="16" customWidth="1"/>
    <col min="11778" max="11778" width="18.453125" style="16" customWidth="1"/>
    <col min="11779" max="11780" width="17.453125" style="16" customWidth="1"/>
    <col min="11781" max="11781" width="28.453125" style="16" customWidth="1"/>
    <col min="11782" max="11793" width="17.453125" style="16" customWidth="1"/>
    <col min="11794" max="11799" width="8.453125" style="16" customWidth="1"/>
    <col min="11800" max="11802" width="11.453125" style="16"/>
    <col min="11803" max="11809" width="13.453125" style="16" customWidth="1"/>
    <col min="11810" max="12031" width="11.453125" style="16"/>
    <col min="12032" max="12032" width="6.453125" style="16" customWidth="1"/>
    <col min="12033" max="12033" width="59.453125" style="16" customWidth="1"/>
    <col min="12034" max="12034" width="18.453125" style="16" customWidth="1"/>
    <col min="12035" max="12036" width="17.453125" style="16" customWidth="1"/>
    <col min="12037" max="12037" width="28.453125" style="16" customWidth="1"/>
    <col min="12038" max="12049" width="17.453125" style="16" customWidth="1"/>
    <col min="12050" max="12055" width="8.453125" style="16" customWidth="1"/>
    <col min="12056" max="12058" width="11.453125" style="16"/>
    <col min="12059" max="12065" width="13.453125" style="16" customWidth="1"/>
    <col min="12066" max="12287" width="11.453125" style="16"/>
    <col min="12288" max="12288" width="6.453125" style="16" customWidth="1"/>
    <col min="12289" max="12289" width="59.453125" style="16" customWidth="1"/>
    <col min="12290" max="12290" width="18.453125" style="16" customWidth="1"/>
    <col min="12291" max="12292" width="17.453125" style="16" customWidth="1"/>
    <col min="12293" max="12293" width="28.453125" style="16" customWidth="1"/>
    <col min="12294" max="12305" width="17.453125" style="16" customWidth="1"/>
    <col min="12306" max="12311" width="8.453125" style="16" customWidth="1"/>
    <col min="12312" max="12314" width="11.453125" style="16"/>
    <col min="12315" max="12321" width="13.453125" style="16" customWidth="1"/>
    <col min="12322" max="12543" width="11.453125" style="16"/>
    <col min="12544" max="12544" width="6.453125" style="16" customWidth="1"/>
    <col min="12545" max="12545" width="59.453125" style="16" customWidth="1"/>
    <col min="12546" max="12546" width="18.453125" style="16" customWidth="1"/>
    <col min="12547" max="12548" width="17.453125" style="16" customWidth="1"/>
    <col min="12549" max="12549" width="28.453125" style="16" customWidth="1"/>
    <col min="12550" max="12561" width="17.453125" style="16" customWidth="1"/>
    <col min="12562" max="12567" width="8.453125" style="16" customWidth="1"/>
    <col min="12568" max="12570" width="11.453125" style="16"/>
    <col min="12571" max="12577" width="13.453125" style="16" customWidth="1"/>
    <col min="12578" max="12799" width="11.453125" style="16"/>
    <col min="12800" max="12800" width="6.453125" style="16" customWidth="1"/>
    <col min="12801" max="12801" width="59.453125" style="16" customWidth="1"/>
    <col min="12802" max="12802" width="18.453125" style="16" customWidth="1"/>
    <col min="12803" max="12804" width="17.453125" style="16" customWidth="1"/>
    <col min="12805" max="12805" width="28.453125" style="16" customWidth="1"/>
    <col min="12806" max="12817" width="17.453125" style="16" customWidth="1"/>
    <col min="12818" max="12823" width="8.453125" style="16" customWidth="1"/>
    <col min="12824" max="12826" width="11.453125" style="16"/>
    <col min="12827" max="12833" width="13.453125" style="16" customWidth="1"/>
    <col min="12834" max="13055" width="11.453125" style="16"/>
    <col min="13056" max="13056" width="6.453125" style="16" customWidth="1"/>
    <col min="13057" max="13057" width="59.453125" style="16" customWidth="1"/>
    <col min="13058" max="13058" width="18.453125" style="16" customWidth="1"/>
    <col min="13059" max="13060" width="17.453125" style="16" customWidth="1"/>
    <col min="13061" max="13061" width="28.453125" style="16" customWidth="1"/>
    <col min="13062" max="13073" width="17.453125" style="16" customWidth="1"/>
    <col min="13074" max="13079" width="8.453125" style="16" customWidth="1"/>
    <col min="13080" max="13082" width="11.453125" style="16"/>
    <col min="13083" max="13089" width="13.453125" style="16" customWidth="1"/>
    <col min="13090" max="13311" width="11.453125" style="16"/>
    <col min="13312" max="13312" width="6.453125" style="16" customWidth="1"/>
    <col min="13313" max="13313" width="59.453125" style="16" customWidth="1"/>
    <col min="13314" max="13314" width="18.453125" style="16" customWidth="1"/>
    <col min="13315" max="13316" width="17.453125" style="16" customWidth="1"/>
    <col min="13317" max="13317" width="28.453125" style="16" customWidth="1"/>
    <col min="13318" max="13329" width="17.453125" style="16" customWidth="1"/>
    <col min="13330" max="13335" width="8.453125" style="16" customWidth="1"/>
    <col min="13336" max="13338" width="11.453125" style="16"/>
    <col min="13339" max="13345" width="13.453125" style="16" customWidth="1"/>
    <col min="13346" max="13567" width="11.453125" style="16"/>
    <col min="13568" max="13568" width="6.453125" style="16" customWidth="1"/>
    <col min="13569" max="13569" width="59.453125" style="16" customWidth="1"/>
    <col min="13570" max="13570" width="18.453125" style="16" customWidth="1"/>
    <col min="13571" max="13572" width="17.453125" style="16" customWidth="1"/>
    <col min="13573" max="13573" width="28.453125" style="16" customWidth="1"/>
    <col min="13574" max="13585" width="17.453125" style="16" customWidth="1"/>
    <col min="13586" max="13591" width="8.453125" style="16" customWidth="1"/>
    <col min="13592" max="13594" width="11.453125" style="16"/>
    <col min="13595" max="13601" width="13.453125" style="16" customWidth="1"/>
    <col min="13602" max="13823" width="11.453125" style="16"/>
    <col min="13824" max="13824" width="6.453125" style="16" customWidth="1"/>
    <col min="13825" max="13825" width="59.453125" style="16" customWidth="1"/>
    <col min="13826" max="13826" width="18.453125" style="16" customWidth="1"/>
    <col min="13827" max="13828" width="17.453125" style="16" customWidth="1"/>
    <col min="13829" max="13829" width="28.453125" style="16" customWidth="1"/>
    <col min="13830" max="13841" width="17.453125" style="16" customWidth="1"/>
    <col min="13842" max="13847" width="8.453125" style="16" customWidth="1"/>
    <col min="13848" max="13850" width="11.453125" style="16"/>
    <col min="13851" max="13857" width="13.453125" style="16" customWidth="1"/>
    <col min="13858" max="14079" width="11.453125" style="16"/>
    <col min="14080" max="14080" width="6.453125" style="16" customWidth="1"/>
    <col min="14081" max="14081" width="59.453125" style="16" customWidth="1"/>
    <col min="14082" max="14082" width="18.453125" style="16" customWidth="1"/>
    <col min="14083" max="14084" width="17.453125" style="16" customWidth="1"/>
    <col min="14085" max="14085" width="28.453125" style="16" customWidth="1"/>
    <col min="14086" max="14097" width="17.453125" style="16" customWidth="1"/>
    <col min="14098" max="14103" width="8.453125" style="16" customWidth="1"/>
    <col min="14104" max="14106" width="11.453125" style="16"/>
    <col min="14107" max="14113" width="13.453125" style="16" customWidth="1"/>
    <col min="14114" max="14335" width="11.453125" style="16"/>
    <col min="14336" max="14336" width="6.453125" style="16" customWidth="1"/>
    <col min="14337" max="14337" width="59.453125" style="16" customWidth="1"/>
    <col min="14338" max="14338" width="18.453125" style="16" customWidth="1"/>
    <col min="14339" max="14340" width="17.453125" style="16" customWidth="1"/>
    <col min="14341" max="14341" width="28.453125" style="16" customWidth="1"/>
    <col min="14342" max="14353" width="17.453125" style="16" customWidth="1"/>
    <col min="14354" max="14359" width="8.453125" style="16" customWidth="1"/>
    <col min="14360" max="14362" width="11.453125" style="16"/>
    <col min="14363" max="14369" width="13.453125" style="16" customWidth="1"/>
    <col min="14370" max="14591" width="11.453125" style="16"/>
    <col min="14592" max="14592" width="6.453125" style="16" customWidth="1"/>
    <col min="14593" max="14593" width="59.453125" style="16" customWidth="1"/>
    <col min="14594" max="14594" width="18.453125" style="16" customWidth="1"/>
    <col min="14595" max="14596" width="17.453125" style="16" customWidth="1"/>
    <col min="14597" max="14597" width="28.453125" style="16" customWidth="1"/>
    <col min="14598" max="14609" width="17.453125" style="16" customWidth="1"/>
    <col min="14610" max="14615" width="8.453125" style="16" customWidth="1"/>
    <col min="14616" max="14618" width="11.453125" style="16"/>
    <col min="14619" max="14625" width="13.453125" style="16" customWidth="1"/>
    <col min="14626" max="14847" width="11.453125" style="16"/>
    <col min="14848" max="14848" width="6.453125" style="16" customWidth="1"/>
    <col min="14849" max="14849" width="59.453125" style="16" customWidth="1"/>
    <col min="14850" max="14850" width="18.453125" style="16" customWidth="1"/>
    <col min="14851" max="14852" width="17.453125" style="16" customWidth="1"/>
    <col min="14853" max="14853" width="28.453125" style="16" customWidth="1"/>
    <col min="14854" max="14865" width="17.453125" style="16" customWidth="1"/>
    <col min="14866" max="14871" width="8.453125" style="16" customWidth="1"/>
    <col min="14872" max="14874" width="11.453125" style="16"/>
    <col min="14875" max="14881" width="13.453125" style="16" customWidth="1"/>
    <col min="14882" max="15103" width="11.453125" style="16"/>
    <col min="15104" max="15104" width="6.453125" style="16" customWidth="1"/>
    <col min="15105" max="15105" width="59.453125" style="16" customWidth="1"/>
    <col min="15106" max="15106" width="18.453125" style="16" customWidth="1"/>
    <col min="15107" max="15108" width="17.453125" style="16" customWidth="1"/>
    <col min="15109" max="15109" width="28.453125" style="16" customWidth="1"/>
    <col min="15110" max="15121" width="17.453125" style="16" customWidth="1"/>
    <col min="15122" max="15127" width="8.453125" style="16" customWidth="1"/>
    <col min="15128" max="15130" width="11.453125" style="16"/>
    <col min="15131" max="15137" width="13.453125" style="16" customWidth="1"/>
    <col min="15138" max="15359" width="11.453125" style="16"/>
    <col min="15360" max="15360" width="6.453125" style="16" customWidth="1"/>
    <col min="15361" max="15361" width="59.453125" style="16" customWidth="1"/>
    <col min="15362" max="15362" width="18.453125" style="16" customWidth="1"/>
    <col min="15363" max="15364" width="17.453125" style="16" customWidth="1"/>
    <col min="15365" max="15365" width="28.453125" style="16" customWidth="1"/>
    <col min="15366" max="15377" width="17.453125" style="16" customWidth="1"/>
    <col min="15378" max="15383" width="8.453125" style="16" customWidth="1"/>
    <col min="15384" max="15386" width="11.453125" style="16"/>
    <col min="15387" max="15393" width="13.453125" style="16" customWidth="1"/>
    <col min="15394" max="15615" width="11.453125" style="16"/>
    <col min="15616" max="15616" width="6.453125" style="16" customWidth="1"/>
    <col min="15617" max="15617" width="59.453125" style="16" customWidth="1"/>
    <col min="15618" max="15618" width="18.453125" style="16" customWidth="1"/>
    <col min="15619" max="15620" width="17.453125" style="16" customWidth="1"/>
    <col min="15621" max="15621" width="28.453125" style="16" customWidth="1"/>
    <col min="15622" max="15633" width="17.453125" style="16" customWidth="1"/>
    <col min="15634" max="15639" width="8.453125" style="16" customWidth="1"/>
    <col min="15640" max="15642" width="11.453125" style="16"/>
    <col min="15643" max="15649" width="13.453125" style="16" customWidth="1"/>
    <col min="15650" max="15871" width="11.453125" style="16"/>
    <col min="15872" max="15872" width="6.453125" style="16" customWidth="1"/>
    <col min="15873" max="15873" width="59.453125" style="16" customWidth="1"/>
    <col min="15874" max="15874" width="18.453125" style="16" customWidth="1"/>
    <col min="15875" max="15876" width="17.453125" style="16" customWidth="1"/>
    <col min="15877" max="15877" width="28.453125" style="16" customWidth="1"/>
    <col min="15878" max="15889" width="17.453125" style="16" customWidth="1"/>
    <col min="15890" max="15895" width="8.453125" style="16" customWidth="1"/>
    <col min="15896" max="15898" width="11.453125" style="16"/>
    <col min="15899" max="15905" width="13.453125" style="16" customWidth="1"/>
    <col min="15906" max="16127" width="11.453125" style="16"/>
    <col min="16128" max="16128" width="6.453125" style="16" customWidth="1"/>
    <col min="16129" max="16129" width="59.453125" style="16" customWidth="1"/>
    <col min="16130" max="16130" width="18.453125" style="16" customWidth="1"/>
    <col min="16131" max="16132" width="17.453125" style="16" customWidth="1"/>
    <col min="16133" max="16133" width="28.453125" style="16" customWidth="1"/>
    <col min="16134" max="16145" width="17.453125" style="16" customWidth="1"/>
    <col min="16146" max="16151" width="8.453125" style="16" customWidth="1"/>
    <col min="16152" max="16154" width="11.453125" style="16"/>
    <col min="16155" max="16161" width="13.453125" style="16" customWidth="1"/>
    <col min="16162" max="16384" width="11.453125" style="16"/>
  </cols>
  <sheetData>
    <row r="1" spans="1:23" ht="55.5" customHeight="1" x14ac:dyDescent="0.25">
      <c r="B1" s="50" t="s">
        <v>78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30"/>
      <c r="R1" s="51"/>
      <c r="S1" s="51"/>
      <c r="T1" s="51"/>
      <c r="U1" s="51"/>
      <c r="V1" s="41"/>
      <c r="W1" s="41"/>
    </row>
    <row r="2" spans="1:23" ht="25" customHeight="1" x14ac:dyDescent="0.25">
      <c r="B2" s="203" t="s">
        <v>77</v>
      </c>
      <c r="C2" s="203"/>
      <c r="D2" s="204" t="s">
        <v>76</v>
      </c>
      <c r="E2" s="204"/>
      <c r="F2" s="204"/>
      <c r="G2" s="48"/>
      <c r="H2" s="48"/>
      <c r="I2" s="48"/>
      <c r="J2" s="48"/>
      <c r="K2" s="48"/>
      <c r="L2" s="48"/>
      <c r="M2" s="48"/>
      <c r="N2" s="48"/>
      <c r="O2" s="48"/>
      <c r="P2" s="48"/>
      <c r="Q2" s="30"/>
      <c r="R2" s="30"/>
      <c r="S2" s="30"/>
      <c r="T2" s="30"/>
      <c r="U2" s="30"/>
      <c r="V2" s="30"/>
      <c r="W2" s="30"/>
    </row>
    <row r="3" spans="1:23" ht="20.25" customHeight="1" x14ac:dyDescent="0.25">
      <c r="B3" s="203" t="s">
        <v>75</v>
      </c>
      <c r="C3" s="203"/>
      <c r="D3" s="204" t="s">
        <v>74</v>
      </c>
      <c r="E3" s="204"/>
      <c r="F3" s="204"/>
      <c r="L3" s="47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" customHeight="1" x14ac:dyDescent="0.25">
      <c r="I4" s="202" t="s">
        <v>73</v>
      </c>
      <c r="J4" s="202"/>
      <c r="O4" s="202" t="s">
        <v>73</v>
      </c>
      <c r="P4" s="202"/>
      <c r="Q4" s="30"/>
    </row>
    <row r="5" spans="1:23" ht="19.5" customHeight="1" x14ac:dyDescent="0.25">
      <c r="B5" s="190" t="s">
        <v>28</v>
      </c>
      <c r="C5" s="190" t="s">
        <v>53</v>
      </c>
      <c r="D5" s="192" t="s">
        <v>52</v>
      </c>
      <c r="E5" s="194" t="str">
        <f>+"Volumen ("&amp;D3&amp;")"</f>
        <v>Volumen (TM)</v>
      </c>
      <c r="F5" s="195"/>
      <c r="G5" s="195"/>
      <c r="H5" s="195"/>
      <c r="I5" s="195"/>
      <c r="J5" s="196"/>
      <c r="K5" s="184" t="s">
        <v>72</v>
      </c>
      <c r="L5" s="197"/>
      <c r="M5" s="197"/>
      <c r="N5" s="197"/>
      <c r="O5" s="197"/>
      <c r="P5" s="198"/>
      <c r="Q5" s="30"/>
    </row>
    <row r="6" spans="1:23" ht="31" x14ac:dyDescent="0.25">
      <c r="B6" s="191"/>
      <c r="C6" s="191"/>
      <c r="D6" s="193"/>
      <c r="E6" s="45">
        <v>2021</v>
      </c>
      <c r="F6" s="45">
        <v>2022</v>
      </c>
      <c r="G6" s="45">
        <v>2023</v>
      </c>
      <c r="H6" s="45">
        <v>2024</v>
      </c>
      <c r="I6" s="46" t="s">
        <v>71</v>
      </c>
      <c r="J6" s="46" t="s">
        <v>70</v>
      </c>
      <c r="K6" s="45">
        <f t="shared" ref="K6:P6" si="0">+E6</f>
        <v>2021</v>
      </c>
      <c r="L6" s="45">
        <f t="shared" si="0"/>
        <v>2022</v>
      </c>
      <c r="M6" s="45">
        <f t="shared" si="0"/>
        <v>2023</v>
      </c>
      <c r="N6" s="45">
        <f t="shared" si="0"/>
        <v>2024</v>
      </c>
      <c r="O6" s="45" t="str">
        <f t="shared" si="0"/>
        <v>Ene - Jun  2024</v>
      </c>
      <c r="P6" s="45" t="str">
        <f t="shared" si="0"/>
        <v>Ene - Jun  2025</v>
      </c>
      <c r="Q6" s="30"/>
    </row>
    <row r="7" spans="1:23" ht="20.25" customHeight="1" x14ac:dyDescent="0.25">
      <c r="B7" s="32" t="s">
        <v>50</v>
      </c>
      <c r="C7" s="32" t="s">
        <v>49</v>
      </c>
      <c r="D7" s="32"/>
      <c r="E7" s="44">
        <v>78020</v>
      </c>
      <c r="F7" s="44">
        <v>97906.951999999903</v>
      </c>
      <c r="G7" s="44">
        <v>99576.468899999978</v>
      </c>
      <c r="H7" s="44">
        <v>91856.702619999996</v>
      </c>
      <c r="I7" s="44">
        <v>48543.185959999995</v>
      </c>
      <c r="J7" s="44">
        <v>65342.608970000008</v>
      </c>
      <c r="K7" s="44">
        <v>52699006</v>
      </c>
      <c r="L7" s="44">
        <v>87520346.631197035</v>
      </c>
      <c r="M7" s="44">
        <v>80069977.12321499</v>
      </c>
      <c r="N7" s="44">
        <v>63001067.137458965</v>
      </c>
      <c r="O7" s="44">
        <v>32557503.970014002</v>
      </c>
      <c r="P7" s="44">
        <v>46741499.49948401</v>
      </c>
      <c r="Q7" s="30"/>
    </row>
    <row r="8" spans="1:23" ht="20.25" customHeight="1" x14ac:dyDescent="0.25">
      <c r="A8" s="43"/>
      <c r="B8" s="29">
        <v>1</v>
      </c>
      <c r="C8" s="28" t="s">
        <v>69</v>
      </c>
      <c r="D8" s="27"/>
      <c r="E8" s="42">
        <v>54266.735000000015</v>
      </c>
      <c r="F8" s="42">
        <v>73885.411999999909</v>
      </c>
      <c r="G8" s="42">
        <v>43595.808999999994</v>
      </c>
      <c r="H8" s="42">
        <v>53835.879000000001</v>
      </c>
      <c r="I8" s="42">
        <v>31798.070999999993</v>
      </c>
      <c r="J8" s="42">
        <v>30432.965000000015</v>
      </c>
      <c r="K8" s="42">
        <v>37408461.984999999</v>
      </c>
      <c r="L8" s="42">
        <v>65730187.717270039</v>
      </c>
      <c r="M8" s="42">
        <v>35270696.903492987</v>
      </c>
      <c r="N8" s="42">
        <v>35859880.043395974</v>
      </c>
      <c r="O8" s="42">
        <v>20833729.353096001</v>
      </c>
      <c r="P8" s="42">
        <v>23167366.978773005</v>
      </c>
      <c r="Q8" s="30"/>
    </row>
    <row r="9" spans="1:23" ht="20.25" customHeight="1" x14ac:dyDescent="0.25">
      <c r="A9" s="43"/>
      <c r="B9" s="29">
        <v>2</v>
      </c>
      <c r="C9" s="28" t="s">
        <v>68</v>
      </c>
      <c r="D9" s="27"/>
      <c r="E9" s="42">
        <v>14155.61</v>
      </c>
      <c r="F9" s="42">
        <v>24009.54</v>
      </c>
      <c r="G9" s="42">
        <v>27759.48</v>
      </c>
      <c r="H9" s="42">
        <v>24995.699999999997</v>
      </c>
      <c r="I9" s="42">
        <v>8776.1</v>
      </c>
      <c r="J9" s="42">
        <v>17017.252659999998</v>
      </c>
      <c r="K9" s="42">
        <v>10926265.655820999</v>
      </c>
      <c r="L9" s="42">
        <v>21777918.913926996</v>
      </c>
      <c r="M9" s="42">
        <v>24434865.073191006</v>
      </c>
      <c r="N9" s="42">
        <v>18940378.765806999</v>
      </c>
      <c r="O9" s="42">
        <v>6810127.0782619994</v>
      </c>
      <c r="P9" s="42">
        <v>12654785.700470002</v>
      </c>
      <c r="Q9" s="30"/>
    </row>
    <row r="10" spans="1:23" ht="20.25" customHeight="1" x14ac:dyDescent="0.25">
      <c r="A10" s="43"/>
      <c r="B10" s="29">
        <v>3</v>
      </c>
      <c r="C10" s="28" t="s">
        <v>67</v>
      </c>
      <c r="D10" s="27"/>
      <c r="E10" s="42"/>
      <c r="F10" s="42">
        <v>12</v>
      </c>
      <c r="G10" s="42"/>
      <c r="H10" s="42"/>
      <c r="I10" s="42"/>
      <c r="J10" s="42">
        <v>4552.21</v>
      </c>
      <c r="K10" s="42"/>
      <c r="L10" s="42">
        <v>12240</v>
      </c>
      <c r="M10" s="42"/>
      <c r="N10" s="42"/>
      <c r="O10" s="42"/>
      <c r="P10" s="42">
        <v>2553789.81</v>
      </c>
      <c r="Q10" s="30"/>
    </row>
    <row r="11" spans="1:23" ht="20.25" customHeight="1" x14ac:dyDescent="0.25">
      <c r="A11" s="43"/>
      <c r="B11" s="29">
        <v>4</v>
      </c>
      <c r="C11" s="28" t="s">
        <v>66</v>
      </c>
      <c r="D11" s="27"/>
      <c r="E11" s="42"/>
      <c r="F11" s="42"/>
      <c r="G11" s="42"/>
      <c r="H11" s="42"/>
      <c r="I11" s="42"/>
      <c r="J11" s="42">
        <v>7903.4659999999985</v>
      </c>
      <c r="K11" s="42"/>
      <c r="L11" s="42"/>
      <c r="M11" s="42"/>
      <c r="N11" s="42"/>
      <c r="O11" s="42"/>
      <c r="P11" s="42">
        <v>4909799.3231409993</v>
      </c>
      <c r="Q11" s="30"/>
    </row>
    <row r="12" spans="1:23" ht="20.25" customHeight="1" x14ac:dyDescent="0.25">
      <c r="A12" s="43"/>
      <c r="B12" s="29">
        <v>5</v>
      </c>
      <c r="C12" s="28" t="s">
        <v>65</v>
      </c>
      <c r="D12" s="27"/>
      <c r="E12" s="42">
        <v>4.2199999999999998E-3</v>
      </c>
      <c r="F12" s="42"/>
      <c r="G12" s="42">
        <v>7654.8280000000004</v>
      </c>
      <c r="H12" s="42">
        <v>6904.9804299999996</v>
      </c>
      <c r="I12" s="42">
        <v>2529.2220000000002</v>
      </c>
      <c r="J12" s="42">
        <v>3135.7500000000005</v>
      </c>
      <c r="K12" s="42">
        <v>250.889972</v>
      </c>
      <c r="L12" s="42"/>
      <c r="M12" s="42">
        <v>7652909.3580000009</v>
      </c>
      <c r="N12" s="42">
        <v>4469173.0420999993</v>
      </c>
      <c r="O12" s="42">
        <v>1603685.6103999999</v>
      </c>
      <c r="P12" s="42">
        <v>2066459.25</v>
      </c>
      <c r="Q12" s="30"/>
    </row>
    <row r="13" spans="1:23" ht="20.25" customHeight="1" x14ac:dyDescent="0.25">
      <c r="A13" s="43"/>
      <c r="B13" s="29">
        <v>6</v>
      </c>
      <c r="C13" s="28" t="s">
        <v>64</v>
      </c>
      <c r="D13" s="27"/>
      <c r="E13" s="42">
        <v>9597.5980000000036</v>
      </c>
      <c r="F13" s="42"/>
      <c r="G13" s="42">
        <v>20566.351900000001</v>
      </c>
      <c r="H13" s="42">
        <v>5961.8471899999995</v>
      </c>
      <c r="I13" s="42">
        <v>5337.7929600000007</v>
      </c>
      <c r="J13" s="42">
        <v>2300.96531</v>
      </c>
      <c r="K13" s="42">
        <v>4364027.8105999976</v>
      </c>
      <c r="L13" s="42"/>
      <c r="M13" s="42">
        <v>12711505.788531</v>
      </c>
      <c r="N13" s="42">
        <v>3636311.4085559999</v>
      </c>
      <c r="O13" s="42">
        <v>3255638.3282559998</v>
      </c>
      <c r="P13" s="42">
        <v>1389298.4371</v>
      </c>
      <c r="Q13" s="30"/>
    </row>
    <row r="14" spans="1:23" ht="20.25" customHeight="1" x14ac:dyDescent="0.25">
      <c r="A14" s="43"/>
      <c r="B14" s="29">
        <v>7</v>
      </c>
      <c r="C14" s="28" t="s">
        <v>63</v>
      </c>
      <c r="D14" s="27"/>
      <c r="E14" s="42"/>
      <c r="F14" s="42"/>
      <c r="G14" s="42"/>
      <c r="H14" s="42">
        <v>102</v>
      </c>
      <c r="I14" s="42">
        <v>102</v>
      </c>
      <c r="J14" s="42"/>
      <c r="K14" s="42"/>
      <c r="L14" s="42"/>
      <c r="M14" s="42"/>
      <c r="N14" s="42">
        <v>54323.6</v>
      </c>
      <c r="O14" s="42">
        <v>54323.6</v>
      </c>
      <c r="P14" s="42"/>
      <c r="Q14" s="30"/>
    </row>
    <row r="15" spans="1:23" ht="20.25" customHeight="1" x14ac:dyDescent="0.25">
      <c r="A15" s="43"/>
      <c r="B15" s="29">
        <v>8</v>
      </c>
      <c r="C15" s="28" t="s">
        <v>62</v>
      </c>
      <c r="D15" s="27"/>
      <c r="E15" s="42"/>
      <c r="F15" s="42"/>
      <c r="G15" s="42"/>
      <c r="H15" s="42">
        <v>56.295999999999999</v>
      </c>
      <c r="I15" s="42"/>
      <c r="J15" s="42"/>
      <c r="K15" s="42"/>
      <c r="L15" s="42"/>
      <c r="M15" s="42"/>
      <c r="N15" s="42">
        <v>41000.277600000001</v>
      </c>
      <c r="O15" s="42"/>
      <c r="P15" s="42"/>
      <c r="Q15" s="30"/>
    </row>
    <row r="16" spans="1:23" ht="20.25" customHeight="1" x14ac:dyDescent="0.25">
      <c r="A16" s="43"/>
      <c r="B16" s="29">
        <v>9</v>
      </c>
      <c r="C16" s="28"/>
      <c r="D16" s="27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30"/>
    </row>
    <row r="17" spans="1:17" ht="20.25" customHeight="1" x14ac:dyDescent="0.25">
      <c r="A17" s="43"/>
      <c r="B17" s="29">
        <v>10</v>
      </c>
      <c r="C17" s="28"/>
      <c r="D17" s="27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30"/>
    </row>
    <row r="18" spans="1:17" ht="20.25" customHeight="1" x14ac:dyDescent="0.25">
      <c r="A18" s="43"/>
      <c r="B18" s="29">
        <v>11</v>
      </c>
      <c r="C18" s="28"/>
      <c r="D18" s="27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30"/>
    </row>
    <row r="19" spans="1:17" ht="20.25" customHeight="1" x14ac:dyDescent="0.25">
      <c r="A19" s="43"/>
      <c r="B19" s="29">
        <v>12</v>
      </c>
      <c r="C19" s="28"/>
      <c r="D19" s="27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30"/>
    </row>
    <row r="20" spans="1:17" ht="20.25" customHeight="1" x14ac:dyDescent="0.25">
      <c r="A20" s="43"/>
      <c r="B20" s="29">
        <v>13</v>
      </c>
      <c r="C20" s="28"/>
      <c r="D20" s="27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30"/>
    </row>
    <row r="21" spans="1:17" ht="20.25" customHeight="1" x14ac:dyDescent="0.25">
      <c r="A21" s="43"/>
      <c r="B21" s="29">
        <v>14</v>
      </c>
      <c r="C21" s="28"/>
      <c r="D21" s="27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</row>
    <row r="22" spans="1:17" ht="20.25" customHeight="1" x14ac:dyDescent="0.25">
      <c r="A22" s="43"/>
      <c r="B22" s="29">
        <v>15</v>
      </c>
      <c r="C22" s="28"/>
      <c r="D22" s="27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</row>
    <row r="23" spans="1:17" ht="20.25" customHeight="1" x14ac:dyDescent="0.25">
      <c r="A23" s="43"/>
      <c r="B23" s="29">
        <v>16</v>
      </c>
      <c r="C23" s="28"/>
      <c r="D23" s="27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</row>
    <row r="24" spans="1:17" ht="20.25" customHeight="1" x14ac:dyDescent="0.25">
      <c r="A24" s="43"/>
      <c r="B24" s="29">
        <v>17</v>
      </c>
      <c r="C24" s="28"/>
      <c r="D24" s="27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</row>
    <row r="25" spans="1:17" ht="20.25" customHeight="1" x14ac:dyDescent="0.25">
      <c r="A25" s="43"/>
      <c r="B25" s="29">
        <v>18</v>
      </c>
      <c r="C25" s="28"/>
      <c r="D25" s="27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</row>
    <row r="26" spans="1:17" ht="20.25" customHeight="1" x14ac:dyDescent="0.25">
      <c r="A26" s="43"/>
      <c r="B26" s="29">
        <v>19</v>
      </c>
      <c r="C26" s="28"/>
      <c r="D26" s="27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</row>
    <row r="27" spans="1:17" ht="20.25" customHeight="1" x14ac:dyDescent="0.25">
      <c r="A27" s="43"/>
      <c r="B27" s="29">
        <v>20</v>
      </c>
      <c r="C27" s="28"/>
      <c r="D27" s="27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</row>
    <row r="28" spans="1:17" ht="20.25" customHeight="1" x14ac:dyDescent="0.25">
      <c r="A28" s="43"/>
      <c r="B28" s="29">
        <v>21</v>
      </c>
      <c r="C28" s="28"/>
      <c r="D28" s="27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</row>
    <row r="29" spans="1:17" ht="20.25" customHeight="1" x14ac:dyDescent="0.25">
      <c r="A29" s="43"/>
      <c r="B29" s="29">
        <v>22</v>
      </c>
      <c r="C29" s="28"/>
      <c r="D29" s="27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</row>
    <row r="30" spans="1:17" ht="20.25" customHeight="1" x14ac:dyDescent="0.25">
      <c r="A30" s="43"/>
      <c r="B30" s="29">
        <v>23</v>
      </c>
      <c r="C30" s="28"/>
      <c r="D30" s="27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</row>
    <row r="31" spans="1:17" ht="20.25" customHeight="1" x14ac:dyDescent="0.25">
      <c r="A31" s="43"/>
      <c r="B31" s="29">
        <v>24</v>
      </c>
      <c r="C31" s="28"/>
      <c r="D31" s="27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</row>
    <row r="32" spans="1:17" ht="20.25" customHeight="1" x14ac:dyDescent="0.25">
      <c r="A32" s="43"/>
      <c r="B32" s="29">
        <v>25</v>
      </c>
      <c r="C32" s="28"/>
      <c r="D32" s="27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</row>
    <row r="33" spans="1:23" ht="20.25" customHeight="1" x14ac:dyDescent="0.25"/>
    <row r="34" spans="1:23" ht="13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</row>
    <row r="35" spans="1:23" ht="13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</row>
    <row r="36" spans="1:23" ht="20" x14ac:dyDescent="0.25">
      <c r="B36" s="41"/>
      <c r="C36" s="40"/>
      <c r="D36" s="40"/>
      <c r="E36" s="40"/>
    </row>
    <row r="37" spans="1:23" ht="15.75" customHeight="1" x14ac:dyDescent="0.25">
      <c r="B37" s="199" t="s">
        <v>28</v>
      </c>
      <c r="C37" s="194" t="s">
        <v>53</v>
      </c>
      <c r="D37" s="183" t="s">
        <v>52</v>
      </c>
      <c r="E37" s="200" t="s">
        <v>61</v>
      </c>
      <c r="F37" s="200"/>
      <c r="G37" s="200"/>
      <c r="H37" s="200"/>
      <c r="I37" s="201"/>
      <c r="J37" s="194" t="s">
        <v>60</v>
      </c>
      <c r="K37" s="195"/>
      <c r="L37" s="195"/>
      <c r="M37" s="195"/>
      <c r="N37" s="195"/>
      <c r="O37" s="195"/>
      <c r="P37" s="196"/>
      <c r="S37" s="20"/>
    </row>
    <row r="38" spans="1:23" ht="46.5" x14ac:dyDescent="0.25">
      <c r="B38" s="199"/>
      <c r="C38" s="199">
        <v>0</v>
      </c>
      <c r="D38" s="183"/>
      <c r="E38" s="39" t="str">
        <f>+CONCATENATE(F6," / ",E6)</f>
        <v>2022 / 2021</v>
      </c>
      <c r="F38" s="39" t="str">
        <f>+CONCATENATE(G6," / ",F6)</f>
        <v>2023 / 2022</v>
      </c>
      <c r="G38" s="39" t="str">
        <f>+CONCATENATE(H6," / ",G6)</f>
        <v>2024 / 2023</v>
      </c>
      <c r="H38" s="39" t="str">
        <f>+CONCATENATE(E6," / ",H6)</f>
        <v>2021 / 2024</v>
      </c>
      <c r="I38" s="39" t="str">
        <f>+J6&amp;" / "&amp;I6</f>
        <v>Ene - Jun  2025 / Ene - Jun  2024</v>
      </c>
      <c r="J38" s="37">
        <f>+E6</f>
        <v>2021</v>
      </c>
      <c r="K38" s="37">
        <f>+F6</f>
        <v>2022</v>
      </c>
      <c r="L38" s="37">
        <f>+G6</f>
        <v>2023</v>
      </c>
      <c r="M38" s="37">
        <f>+H6</f>
        <v>2024</v>
      </c>
      <c r="N38" s="38" t="str">
        <f>+O6</f>
        <v>Ene - Jun  2024</v>
      </c>
      <c r="O38" s="38" t="str">
        <f>+P6</f>
        <v>Ene - Jun  2025</v>
      </c>
      <c r="P38" s="37" t="str">
        <f>+CONCATENATE("Acumulado ",N38)</f>
        <v>Acumulado Ene - Jun  2024</v>
      </c>
      <c r="S38" s="20"/>
    </row>
    <row r="39" spans="1:23" ht="20.25" customHeight="1" x14ac:dyDescent="0.25">
      <c r="B39" s="32" t="s">
        <v>50</v>
      </c>
      <c r="C39" s="32" t="s">
        <v>49</v>
      </c>
      <c r="D39" s="32"/>
      <c r="E39" s="25">
        <f>+IF(OR(E7=0,E7=""),"",((F7-E7)/E7*100))</f>
        <v>25.489556523968087</v>
      </c>
      <c r="F39" s="25">
        <f>+IF(OR(F7=0,F7=""),"",((G7-F7)/F7*100))</f>
        <v>1.7052077159955676</v>
      </c>
      <c r="G39" s="25">
        <f>+IF(OR(G7=0,G7=""),"",((H7-G7)/G7*100))</f>
        <v>-7.7526009561079983</v>
      </c>
      <c r="H39" s="25">
        <f>+IF(OR(H7=0,H7=""),"",((E7-H7)/H7*100))</f>
        <v>-15.063356538325518</v>
      </c>
      <c r="I39" s="25">
        <f>+IF(OR(I7=0,I7=""),"",((J7-I7)/I7*100))</f>
        <v>34.60717025010036</v>
      </c>
      <c r="J39" s="31">
        <f>+IF(E7=0,"",(E7/E7)*100)</f>
        <v>100</v>
      </c>
      <c r="K39" s="31">
        <f>+IF(F7=0,"",(F7/F7)*100)</f>
        <v>100</v>
      </c>
      <c r="L39" s="31">
        <f>+IF(G7=0,"",(G7/G7)*100)</f>
        <v>100</v>
      </c>
      <c r="M39" s="31">
        <f>+IF(H7=0,"",(H7/H7)*100)</f>
        <v>100</v>
      </c>
      <c r="N39" s="31">
        <f>+IF(H7=0,"",(H7/H7)*100)</f>
        <v>100</v>
      </c>
      <c r="O39" s="31">
        <f>+IF(I7=0,"",(I7/I7)*100)</f>
        <v>100</v>
      </c>
      <c r="P39" s="31">
        <f>+IF(J7=0,"",(J7/J7)*100)</f>
        <v>100</v>
      </c>
      <c r="S39" s="20"/>
    </row>
    <row r="40" spans="1:23" ht="18" x14ac:dyDescent="0.25">
      <c r="B40" s="32" t="s">
        <v>59</v>
      </c>
      <c r="C40" s="32" t="s">
        <v>58</v>
      </c>
      <c r="D40" s="32"/>
      <c r="E40" s="25">
        <f>+IF(OR(SUM(E8:E32)=0,SUM(E8:E32)=""),"",((SUM(F8:F32)-SUM(E8:E32))/SUM(E8:E32)*100))</f>
        <v>25.48964141685801</v>
      </c>
      <c r="F40" s="25">
        <f>+IF(OR(SUM(F8:F32)=0,SUM(F8:F32)=""),"",((SUM(G8:G32)-SUM(F8:F32))/SUM(F8:F32)*100))</f>
        <v>1.7052077159955676</v>
      </c>
      <c r="G40" s="25">
        <f>+IF(OR(SUM(G8:G32)=0,SUM(G8:G32)=""),"",((SUM(H8:H32)-SUM(G8:G32))/SUM(G8:G32)*100))</f>
        <v>-7.7526009561079983</v>
      </c>
      <c r="H40" s="25">
        <f>+IF(OR(SUM(H8:H32)=0,SUM(H8:H32)=""),"",((SUM(E8:E32)-SUM(H8:H32))/SUM(H8:H32)*100))</f>
        <v>-15.063413997387814</v>
      </c>
      <c r="I40" s="25">
        <f>+IF(OR(SUM(I8:I32)=0,SUM(I8:I32)=""),"",((SUM(J8:J32)-SUM(I8:I32))/SUM(I8:I32)*100))</f>
        <v>34.60717025010036</v>
      </c>
      <c r="J40" s="31">
        <f t="shared" ref="J40:O40" si="1">+IF(E7=0,"",SUM(E8:E32)/E7*100)</f>
        <v>99.99993235067933</v>
      </c>
      <c r="K40" s="31">
        <f t="shared" si="1"/>
        <v>100</v>
      </c>
      <c r="L40" s="31">
        <f t="shared" si="1"/>
        <v>100</v>
      </c>
      <c r="M40" s="31">
        <f t="shared" si="1"/>
        <v>100</v>
      </c>
      <c r="N40" s="31">
        <f t="shared" si="1"/>
        <v>100</v>
      </c>
      <c r="O40" s="31">
        <f t="shared" si="1"/>
        <v>100</v>
      </c>
      <c r="P40" s="31"/>
      <c r="S40" s="20"/>
    </row>
    <row r="41" spans="1:23" ht="18" x14ac:dyDescent="0.25">
      <c r="B41" s="32" t="s">
        <v>57</v>
      </c>
      <c r="C41" s="32" t="s">
        <v>56</v>
      </c>
      <c r="D41" s="32"/>
      <c r="E41" s="25">
        <f>+IF(OR(SUM(E8:E12)=0,SUM(E8:E12)=""),"",((SUM(F8:F12)-SUM(E8:E12))/SUM(E8:E12)*100))</f>
        <v>43.092064385566964</v>
      </c>
      <c r="F41" s="25">
        <f>+IF(OR(SUM(F8:F12)=0,SUM(F8:F12)=""),"",((SUM(G8:G12)-SUM(F8:F12))/SUM(F8:F12)*100))</f>
        <v>-19.300810222342474</v>
      </c>
      <c r="G41" s="25">
        <f>+IF(OR(SUM(G8:G12)=0,SUM(G8:G12)=""),"",((SUM(H8:H12)-SUM(G8:G12))/SUM(G8:G12)*100))</f>
        <v>8.5133938353742877</v>
      </c>
      <c r="H41" s="25">
        <f>+IF(OR(SUM(H8:H12)=0,SUM(H8:H12)=""),"",((SUM(E8:E12)-SUM(H8:H12))/SUM(H8:H12)*100))</f>
        <v>-20.194664125910304</v>
      </c>
      <c r="I41" s="25">
        <f>+IF(OR(SUM(I8:I12)=0,SUM(I8:I12)=""),"",((SUM(J8:J12)-SUM(I8:I12))/SUM(I8:I12)*100))</f>
        <v>46.256800850921444</v>
      </c>
      <c r="J41" s="31">
        <f t="shared" ref="J41:O41" si="2">+IF(E7=0,"",SUM(E8:E12)/E7*100)</f>
        <v>87.698473750320446</v>
      </c>
      <c r="K41" s="31">
        <f t="shared" si="2"/>
        <v>100</v>
      </c>
      <c r="L41" s="31">
        <f t="shared" si="2"/>
        <v>79.346172718120954</v>
      </c>
      <c r="M41" s="31">
        <f t="shared" si="2"/>
        <v>93.33729274463694</v>
      </c>
      <c r="N41" s="31">
        <f t="shared" si="2"/>
        <v>88.793910303945779</v>
      </c>
      <c r="O41" s="31">
        <f t="shared" si="2"/>
        <v>96.478614266754462</v>
      </c>
      <c r="P41" s="31"/>
      <c r="S41" s="20"/>
    </row>
    <row r="42" spans="1:23" ht="18" x14ac:dyDescent="0.25">
      <c r="B42" s="32" t="s">
        <v>55</v>
      </c>
      <c r="C42" s="32" t="s">
        <v>54</v>
      </c>
      <c r="D42" s="32"/>
      <c r="E42" s="25">
        <f>+IF(OR(SUM(E13:E32)=0,SUM(E13:E32)=""),"",((SUM(F13:F32)-SUM(E13:E32))/SUM(E13:E32)*100))</f>
        <v>-100</v>
      </c>
      <c r="F42" s="25" t="str">
        <f>+IF(OR(SUM(F13:F32)=0,SUM(F13:F32)=""),"",((SUM(G13:G32)-SUM(F13:F32))/SUM(F13:F32)*100))</f>
        <v/>
      </c>
      <c r="G42" s="25">
        <f>+IF(OR(SUM(G13:G32)=0,SUM(G13:G32)=""),"",((SUM(H13:H32)-SUM(G13:G32))/SUM(G13:G32)*100))</f>
        <v>-70.241960169902569</v>
      </c>
      <c r="H42" s="25">
        <f>+IF(OR(SUM(H13:H32)=0,SUM(H13:H32)=""),"",((SUM(E13:E32)-SUM(H13:H32))/SUM(H13:H32)*100))</f>
        <v>56.81982760929494</v>
      </c>
      <c r="I42" s="25">
        <f>+IF(OR(SUM(I13:I32)=0,SUM(I13:I32)=""),"",((SUM(J13:J32)-SUM(I13:I32))/SUM(I13:I32)*100))</f>
        <v>-57.701233724895296</v>
      </c>
      <c r="J42" s="31" cm="1">
        <f t="array" ref="J42">+IF(E7=0,"",SUM(E13:E32/E7*100))</f>
        <v>12.301458600358888</v>
      </c>
      <c r="K42" s="31" cm="1">
        <f t="array" ref="K42">+IF(F7=0,"",SUM(F13:F32/F7*100))</f>
        <v>0</v>
      </c>
      <c r="L42" s="31" cm="1">
        <f t="array" ref="L42">+IF(G7=0,"",SUM(G13:G32/G7*100))</f>
        <v>20.653827281879046</v>
      </c>
      <c r="M42" s="31" cm="1">
        <f t="array" ref="M42">+IF(H7=0,"",SUM(H13:H32/H7*100))</f>
        <v>6.6627072553630482</v>
      </c>
      <c r="N42" s="31" cm="1">
        <f t="array" ref="N42">+IF(I7=0,"",SUM(I13:I32/I7*100))</f>
        <v>11.206089696054224</v>
      </c>
      <c r="O42" s="31" cm="1">
        <f t="array" ref="O42">+IF(J7=0,"",SUM(J13:J32/J7*100))</f>
        <v>3.5213857332455389</v>
      </c>
      <c r="P42" s="31"/>
      <c r="S42" s="20"/>
    </row>
    <row r="43" spans="1:23" ht="20.25" customHeight="1" x14ac:dyDescent="0.25">
      <c r="B43" s="29">
        <v>1</v>
      </c>
      <c r="C43" s="28" t="str">
        <f t="shared" ref="C43:C67" si="3">+C8</f>
        <v>COSTA RICA</v>
      </c>
      <c r="D43" s="27"/>
      <c r="E43" s="26">
        <f t="shared" ref="E43:G67" si="4">+IF(OR(E8=0,E8=""),"",((F8-E8)/E8*100))</f>
        <v>36.152307670619741</v>
      </c>
      <c r="F43" s="26">
        <f t="shared" si="4"/>
        <v>-40.995376732825086</v>
      </c>
      <c r="G43" s="26">
        <f t="shared" si="4"/>
        <v>23.488656902777073</v>
      </c>
      <c r="H43" s="26">
        <f t="shared" ref="H43:H67" si="5">+IF(OR(H8=0,H8=""),"",((E8-H8)/H8*100))</f>
        <v>0.80031385760417195</v>
      </c>
      <c r="I43" s="26">
        <f t="shared" ref="I43:I67" si="6">+IF(OR(I8=0,I8=""),"",((J8-I8)/I8*100))</f>
        <v>-4.2930465813475864</v>
      </c>
      <c r="J43" s="36">
        <f t="shared" ref="J43:J67" si="7">+IF(OR(E8=0,E8=""),"",(E8/E$7*100))</f>
        <v>69.554902589079745</v>
      </c>
      <c r="K43" s="36">
        <f t="shared" ref="K43:K67" si="8">+IF(OR(F8=0,F8=""),"",(F8/F$7*100))</f>
        <v>75.464929191136477</v>
      </c>
      <c r="L43" s="36">
        <f t="shared" ref="L43:L67" si="9">+IF(OR(G8=0,G8=""),"",(G8/G$7*100))</f>
        <v>43.781236151064199</v>
      </c>
      <c r="M43" s="36">
        <f t="shared" ref="M43:M67" si="10">+IF(OR(H8=0,H8=""),"",(H8/H$7*100))</f>
        <v>58.608547296447689</v>
      </c>
      <c r="N43" s="36">
        <f t="shared" ref="N43:N67" si="11">+IF(OR(I8=0,I8=""),"",(I8/I$7*100))</f>
        <v>65.504705492964305</v>
      </c>
      <c r="O43" s="36">
        <f t="shared" ref="O43:O67" si="12">+IF(OR(J8=0,J8=""),"",(J8/J$7*100))</f>
        <v>46.574456514236132</v>
      </c>
      <c r="P43" s="26">
        <f>+N43</f>
        <v>65.504705492964305</v>
      </c>
      <c r="S43" s="20"/>
    </row>
    <row r="44" spans="1:23" ht="20.25" customHeight="1" x14ac:dyDescent="0.25">
      <c r="B44" s="29">
        <v>2</v>
      </c>
      <c r="C44" s="28" t="str">
        <f t="shared" si="3"/>
        <v>ESTADOS UNIDOS (EEUU)</v>
      </c>
      <c r="D44" s="27"/>
      <c r="E44" s="26">
        <f t="shared" si="4"/>
        <v>69.61148265599293</v>
      </c>
      <c r="F44" s="26">
        <f t="shared" si="4"/>
        <v>15.618541629702188</v>
      </c>
      <c r="G44" s="26">
        <f t="shared" si="4"/>
        <v>-9.9561663258821937</v>
      </c>
      <c r="H44" s="26">
        <f t="shared" si="5"/>
        <v>-43.367819264913557</v>
      </c>
      <c r="I44" s="26">
        <f t="shared" si="6"/>
        <v>93.904498125591061</v>
      </c>
      <c r="J44" s="36">
        <f t="shared" si="7"/>
        <v>18.143565752371188</v>
      </c>
      <c r="K44" s="36">
        <f t="shared" si="8"/>
        <v>24.522814273699407</v>
      </c>
      <c r="L44" s="36">
        <f t="shared" si="9"/>
        <v>27.877550094568583</v>
      </c>
      <c r="M44" s="36">
        <f t="shared" si="10"/>
        <v>27.211623416751817</v>
      </c>
      <c r="N44" s="36">
        <f t="shared" si="11"/>
        <v>18.078953464718165</v>
      </c>
      <c r="O44" s="36">
        <f t="shared" si="12"/>
        <v>26.043117849507556</v>
      </c>
      <c r="P44" s="26">
        <f>+IF(N44="",P43,(N44+P43))</f>
        <v>83.583658957682474</v>
      </c>
      <c r="S44" s="20"/>
    </row>
    <row r="45" spans="1:23" ht="20.25" customHeight="1" x14ac:dyDescent="0.25">
      <c r="B45" s="29">
        <v>3</v>
      </c>
      <c r="C45" s="28" t="str">
        <f t="shared" si="3"/>
        <v>JAPON</v>
      </c>
      <c r="D45" s="27"/>
      <c r="E45" s="26" t="str">
        <f t="shared" si="4"/>
        <v/>
      </c>
      <c r="F45" s="26">
        <f t="shared" si="4"/>
        <v>-100</v>
      </c>
      <c r="G45" s="26" t="str">
        <f t="shared" si="4"/>
        <v/>
      </c>
      <c r="H45" s="26" t="str">
        <f t="shared" si="5"/>
        <v/>
      </c>
      <c r="I45" s="26" t="str">
        <f t="shared" si="6"/>
        <v/>
      </c>
      <c r="J45" s="36" t="str">
        <f t="shared" si="7"/>
        <v/>
      </c>
      <c r="K45" s="36">
        <f t="shared" si="8"/>
        <v>1.2256535164121963E-2</v>
      </c>
      <c r="L45" s="36" t="str">
        <f t="shared" si="9"/>
        <v/>
      </c>
      <c r="M45" s="36" t="str">
        <f t="shared" si="10"/>
        <v/>
      </c>
      <c r="N45" s="36" t="str">
        <f t="shared" si="11"/>
        <v/>
      </c>
      <c r="O45" s="36">
        <f t="shared" si="12"/>
        <v>6.9666792798096013</v>
      </c>
      <c r="P45" s="26">
        <f>+IF(N45="",P44,(N45+P44))</f>
        <v>83.583658957682474</v>
      </c>
      <c r="S45" s="20"/>
    </row>
    <row r="46" spans="1:23" ht="20.25" customHeight="1" x14ac:dyDescent="0.25">
      <c r="B46" s="29">
        <v>4</v>
      </c>
      <c r="C46" s="28" t="str">
        <f t="shared" si="3"/>
        <v>COLOMBIA</v>
      </c>
      <c r="D46" s="27"/>
      <c r="E46" s="26" t="str">
        <f t="shared" si="4"/>
        <v/>
      </c>
      <c r="F46" s="26" t="str">
        <f t="shared" si="4"/>
        <v/>
      </c>
      <c r="G46" s="26" t="str">
        <f t="shared" si="4"/>
        <v/>
      </c>
      <c r="H46" s="26" t="str">
        <f t="shared" si="5"/>
        <v/>
      </c>
      <c r="I46" s="26" t="str">
        <f t="shared" si="6"/>
        <v/>
      </c>
      <c r="J46" s="36" t="str">
        <f t="shared" si="7"/>
        <v/>
      </c>
      <c r="K46" s="36" t="str">
        <f t="shared" si="8"/>
        <v/>
      </c>
      <c r="L46" s="36" t="str">
        <f t="shared" si="9"/>
        <v/>
      </c>
      <c r="M46" s="36" t="str">
        <f t="shared" si="10"/>
        <v/>
      </c>
      <c r="N46" s="36" t="str">
        <f t="shared" si="11"/>
        <v/>
      </c>
      <c r="O46" s="36">
        <f t="shared" si="12"/>
        <v>12.095424600552183</v>
      </c>
      <c r="P46" s="26">
        <f>+IF(N46="",P45,(N46+P45))</f>
        <v>83.583658957682474</v>
      </c>
      <c r="S46" s="20"/>
    </row>
    <row r="47" spans="1:23" ht="20.25" customHeight="1" x14ac:dyDescent="0.25">
      <c r="B47" s="29">
        <v>5</v>
      </c>
      <c r="C47" s="28" t="str">
        <f t="shared" si="3"/>
        <v>TURQUIA</v>
      </c>
      <c r="D47" s="27"/>
      <c r="E47" s="26">
        <f t="shared" si="4"/>
        <v>-100</v>
      </c>
      <c r="F47" s="26" t="str">
        <f t="shared" si="4"/>
        <v/>
      </c>
      <c r="G47" s="26">
        <f t="shared" si="4"/>
        <v>-9.7957468149513058</v>
      </c>
      <c r="H47" s="26">
        <f t="shared" si="5"/>
        <v>-99.999938884692824</v>
      </c>
      <c r="I47" s="26">
        <f t="shared" si="6"/>
        <v>23.980813072162118</v>
      </c>
      <c r="J47" s="36">
        <f t="shared" si="7"/>
        <v>5.4088695206357342E-6</v>
      </c>
      <c r="K47" s="36" t="str">
        <f t="shared" si="8"/>
        <v/>
      </c>
      <c r="L47" s="36">
        <f t="shared" si="9"/>
        <v>7.687386472488182</v>
      </c>
      <c r="M47" s="36">
        <f t="shared" si="10"/>
        <v>7.5171220314374478</v>
      </c>
      <c r="N47" s="36">
        <f t="shared" si="11"/>
        <v>5.2102513462633064</v>
      </c>
      <c r="O47" s="36">
        <f t="shared" si="12"/>
        <v>4.7989360226489897</v>
      </c>
      <c r="P47" s="26">
        <f>+IF(N47="",P46,(N47+P46))</f>
        <v>88.793910303945779</v>
      </c>
      <c r="S47" s="20"/>
    </row>
    <row r="48" spans="1:23" ht="20.25" customHeight="1" x14ac:dyDescent="0.25">
      <c r="B48" s="29">
        <v>6</v>
      </c>
      <c r="C48" s="28" t="str">
        <f t="shared" si="3"/>
        <v>RUSIA</v>
      </c>
      <c r="D48" s="27"/>
      <c r="E48" s="26">
        <f t="shared" si="4"/>
        <v>-100</v>
      </c>
      <c r="F48" s="26" t="str">
        <f t="shared" si="4"/>
        <v/>
      </c>
      <c r="G48" s="26">
        <f t="shared" si="4"/>
        <v>-71.011644559091692</v>
      </c>
      <c r="H48" s="26">
        <f t="shared" si="5"/>
        <v>60.983629639122036</v>
      </c>
      <c r="I48" s="26">
        <f t="shared" si="6"/>
        <v>-56.892945694169448</v>
      </c>
      <c r="J48" s="36">
        <f t="shared" si="7"/>
        <v>12.301458600358888</v>
      </c>
      <c r="K48" s="36" t="str">
        <f t="shared" si="8"/>
        <v/>
      </c>
      <c r="L48" s="36">
        <f t="shared" si="9"/>
        <v>20.653827281879046</v>
      </c>
      <c r="M48" s="36">
        <f t="shared" si="10"/>
        <v>6.4903779691106873</v>
      </c>
      <c r="N48" s="36">
        <f t="shared" si="11"/>
        <v>10.995967517250286</v>
      </c>
      <c r="O48" s="36">
        <f t="shared" si="12"/>
        <v>3.5213857332455389</v>
      </c>
      <c r="P48" s="26"/>
      <c r="S48" s="20"/>
    </row>
    <row r="49" spans="2:19" ht="20.25" customHeight="1" x14ac:dyDescent="0.25">
      <c r="B49" s="29">
        <v>7</v>
      </c>
      <c r="C49" s="28" t="str">
        <f t="shared" si="3"/>
        <v>CHINA</v>
      </c>
      <c r="D49" s="27"/>
      <c r="E49" s="26" t="str">
        <f t="shared" si="4"/>
        <v/>
      </c>
      <c r="F49" s="26" t="str">
        <f t="shared" si="4"/>
        <v/>
      </c>
      <c r="G49" s="26" t="str">
        <f t="shared" si="4"/>
        <v/>
      </c>
      <c r="H49" s="26">
        <f t="shared" si="5"/>
        <v>-100</v>
      </c>
      <c r="I49" s="26">
        <f t="shared" si="6"/>
        <v>-100</v>
      </c>
      <c r="J49" s="36" t="str">
        <f t="shared" si="7"/>
        <v/>
      </c>
      <c r="K49" s="36" t="str">
        <f t="shared" si="8"/>
        <v/>
      </c>
      <c r="L49" s="36" t="str">
        <f t="shared" si="9"/>
        <v/>
      </c>
      <c r="M49" s="36">
        <f t="shared" si="10"/>
        <v>0.11104252285427836</v>
      </c>
      <c r="N49" s="36">
        <f t="shared" si="11"/>
        <v>0.21012217880393941</v>
      </c>
      <c r="O49" s="36" t="str">
        <f t="shared" si="12"/>
        <v/>
      </c>
      <c r="P49" s="26"/>
      <c r="S49" s="20"/>
    </row>
    <row r="50" spans="2:19" ht="20.25" customHeight="1" x14ac:dyDescent="0.25">
      <c r="B50" s="29">
        <v>8</v>
      </c>
      <c r="C50" s="28" t="str">
        <f t="shared" si="3"/>
        <v>ISLAS VIRGENES (G.B.)</v>
      </c>
      <c r="D50" s="27"/>
      <c r="E50" s="26" t="str">
        <f t="shared" si="4"/>
        <v/>
      </c>
      <c r="F50" s="26" t="str">
        <f t="shared" si="4"/>
        <v/>
      </c>
      <c r="G50" s="26" t="str">
        <f t="shared" si="4"/>
        <v/>
      </c>
      <c r="H50" s="26">
        <f t="shared" si="5"/>
        <v>-100</v>
      </c>
      <c r="I50" s="26" t="str">
        <f t="shared" si="6"/>
        <v/>
      </c>
      <c r="J50" s="36" t="str">
        <f t="shared" si="7"/>
        <v/>
      </c>
      <c r="K50" s="36" t="str">
        <f t="shared" si="8"/>
        <v/>
      </c>
      <c r="L50" s="36" t="str">
        <f t="shared" si="9"/>
        <v/>
      </c>
      <c r="M50" s="36">
        <f t="shared" si="10"/>
        <v>6.1286763398082887E-2</v>
      </c>
      <c r="N50" s="36" t="str">
        <f t="shared" si="11"/>
        <v/>
      </c>
      <c r="O50" s="36" t="str">
        <f t="shared" si="12"/>
        <v/>
      </c>
      <c r="P50" s="26"/>
      <c r="S50" s="20"/>
    </row>
    <row r="51" spans="2:19" ht="20.25" customHeight="1" x14ac:dyDescent="0.25">
      <c r="B51" s="29">
        <v>9</v>
      </c>
      <c r="C51" s="28">
        <f t="shared" si="3"/>
        <v>0</v>
      </c>
      <c r="D51" s="27"/>
      <c r="E51" s="26" t="str">
        <f t="shared" si="4"/>
        <v/>
      </c>
      <c r="F51" s="26" t="str">
        <f t="shared" si="4"/>
        <v/>
      </c>
      <c r="G51" s="26" t="str">
        <f t="shared" si="4"/>
        <v/>
      </c>
      <c r="H51" s="26" t="str">
        <f t="shared" si="5"/>
        <v/>
      </c>
      <c r="I51" s="26" t="str">
        <f t="shared" si="6"/>
        <v/>
      </c>
      <c r="J51" s="36" t="str">
        <f t="shared" si="7"/>
        <v/>
      </c>
      <c r="K51" s="36" t="str">
        <f t="shared" si="8"/>
        <v/>
      </c>
      <c r="L51" s="36" t="str">
        <f t="shared" si="9"/>
        <v/>
      </c>
      <c r="M51" s="36" t="str">
        <f t="shared" si="10"/>
        <v/>
      </c>
      <c r="N51" s="36" t="str">
        <f t="shared" si="11"/>
        <v/>
      </c>
      <c r="O51" s="36" t="str">
        <f t="shared" si="12"/>
        <v/>
      </c>
      <c r="P51" s="26"/>
      <c r="S51" s="20"/>
    </row>
    <row r="52" spans="2:19" ht="20.25" customHeight="1" x14ac:dyDescent="0.25">
      <c r="B52" s="29">
        <v>10</v>
      </c>
      <c r="C52" s="28">
        <f t="shared" si="3"/>
        <v>0</v>
      </c>
      <c r="D52" s="27"/>
      <c r="E52" s="26" t="str">
        <f t="shared" si="4"/>
        <v/>
      </c>
      <c r="F52" s="26" t="str">
        <f t="shared" si="4"/>
        <v/>
      </c>
      <c r="G52" s="26" t="str">
        <f t="shared" si="4"/>
        <v/>
      </c>
      <c r="H52" s="26" t="str">
        <f t="shared" si="5"/>
        <v/>
      </c>
      <c r="I52" s="26" t="str">
        <f t="shared" si="6"/>
        <v/>
      </c>
      <c r="J52" s="36" t="str">
        <f t="shared" si="7"/>
        <v/>
      </c>
      <c r="K52" s="36" t="str">
        <f t="shared" si="8"/>
        <v/>
      </c>
      <c r="L52" s="36" t="str">
        <f t="shared" si="9"/>
        <v/>
      </c>
      <c r="M52" s="36" t="str">
        <f t="shared" si="10"/>
        <v/>
      </c>
      <c r="N52" s="36" t="str">
        <f t="shared" si="11"/>
        <v/>
      </c>
      <c r="O52" s="36" t="str">
        <f t="shared" si="12"/>
        <v/>
      </c>
      <c r="P52" s="26"/>
      <c r="S52" s="20"/>
    </row>
    <row r="53" spans="2:19" ht="20.25" customHeight="1" x14ac:dyDescent="0.25">
      <c r="B53" s="29">
        <v>11</v>
      </c>
      <c r="C53" s="28">
        <f t="shared" si="3"/>
        <v>0</v>
      </c>
      <c r="D53" s="27"/>
      <c r="E53" s="26" t="str">
        <f t="shared" si="4"/>
        <v/>
      </c>
      <c r="F53" s="26" t="str">
        <f t="shared" si="4"/>
        <v/>
      </c>
      <c r="G53" s="26" t="str">
        <f t="shared" si="4"/>
        <v/>
      </c>
      <c r="H53" s="26" t="str">
        <f t="shared" si="5"/>
        <v/>
      </c>
      <c r="I53" s="26" t="str">
        <f t="shared" si="6"/>
        <v/>
      </c>
      <c r="J53" s="36" t="str">
        <f t="shared" si="7"/>
        <v/>
      </c>
      <c r="K53" s="36" t="str">
        <f t="shared" si="8"/>
        <v/>
      </c>
      <c r="L53" s="36" t="str">
        <f t="shared" si="9"/>
        <v/>
      </c>
      <c r="M53" s="36" t="str">
        <f t="shared" si="10"/>
        <v/>
      </c>
      <c r="N53" s="36" t="str">
        <f t="shared" si="11"/>
        <v/>
      </c>
      <c r="O53" s="36" t="str">
        <f t="shared" si="12"/>
        <v/>
      </c>
      <c r="P53" s="26"/>
      <c r="S53" s="20"/>
    </row>
    <row r="54" spans="2:19" ht="20.25" customHeight="1" x14ac:dyDescent="0.25">
      <c r="B54" s="29">
        <v>12</v>
      </c>
      <c r="C54" s="28">
        <f t="shared" si="3"/>
        <v>0</v>
      </c>
      <c r="D54" s="27"/>
      <c r="E54" s="26" t="str">
        <f t="shared" si="4"/>
        <v/>
      </c>
      <c r="F54" s="26" t="str">
        <f t="shared" si="4"/>
        <v/>
      </c>
      <c r="G54" s="26" t="str">
        <f t="shared" si="4"/>
        <v/>
      </c>
      <c r="H54" s="26" t="str">
        <f t="shared" si="5"/>
        <v/>
      </c>
      <c r="I54" s="26" t="str">
        <f t="shared" si="6"/>
        <v/>
      </c>
      <c r="J54" s="36" t="str">
        <f t="shared" si="7"/>
        <v/>
      </c>
      <c r="K54" s="36" t="str">
        <f t="shared" si="8"/>
        <v/>
      </c>
      <c r="L54" s="36" t="str">
        <f t="shared" si="9"/>
        <v/>
      </c>
      <c r="M54" s="36" t="str">
        <f t="shared" si="10"/>
        <v/>
      </c>
      <c r="N54" s="36" t="str">
        <f t="shared" si="11"/>
        <v/>
      </c>
      <c r="O54" s="36" t="str">
        <f t="shared" si="12"/>
        <v/>
      </c>
      <c r="P54" s="26"/>
      <c r="S54" s="20"/>
    </row>
    <row r="55" spans="2:19" ht="20.25" customHeight="1" x14ac:dyDescent="0.25">
      <c r="B55" s="29">
        <v>13</v>
      </c>
      <c r="C55" s="28">
        <f t="shared" si="3"/>
        <v>0</v>
      </c>
      <c r="D55" s="27"/>
      <c r="E55" s="26" t="str">
        <f t="shared" si="4"/>
        <v/>
      </c>
      <c r="F55" s="26" t="str">
        <f t="shared" si="4"/>
        <v/>
      </c>
      <c r="G55" s="26" t="str">
        <f t="shared" si="4"/>
        <v/>
      </c>
      <c r="H55" s="26" t="str">
        <f t="shared" si="5"/>
        <v/>
      </c>
      <c r="I55" s="26" t="str">
        <f t="shared" si="6"/>
        <v/>
      </c>
      <c r="J55" s="36" t="str">
        <f t="shared" si="7"/>
        <v/>
      </c>
      <c r="K55" s="36" t="str">
        <f t="shared" si="8"/>
        <v/>
      </c>
      <c r="L55" s="36" t="str">
        <f t="shared" si="9"/>
        <v/>
      </c>
      <c r="M55" s="36" t="str">
        <f t="shared" si="10"/>
        <v/>
      </c>
      <c r="N55" s="36" t="str">
        <f t="shared" si="11"/>
        <v/>
      </c>
      <c r="O55" s="36" t="str">
        <f t="shared" si="12"/>
        <v/>
      </c>
      <c r="P55" s="26"/>
      <c r="S55" s="20"/>
    </row>
    <row r="56" spans="2:19" ht="20.25" customHeight="1" x14ac:dyDescent="0.25">
      <c r="B56" s="29">
        <v>14</v>
      </c>
      <c r="C56" s="28">
        <f t="shared" si="3"/>
        <v>0</v>
      </c>
      <c r="D56" s="27"/>
      <c r="E56" s="26" t="str">
        <f t="shared" si="4"/>
        <v/>
      </c>
      <c r="F56" s="26" t="str">
        <f t="shared" si="4"/>
        <v/>
      </c>
      <c r="G56" s="26" t="str">
        <f t="shared" si="4"/>
        <v/>
      </c>
      <c r="H56" s="26" t="str">
        <f t="shared" si="5"/>
        <v/>
      </c>
      <c r="I56" s="26" t="str">
        <f t="shared" si="6"/>
        <v/>
      </c>
      <c r="J56" s="36" t="str">
        <f t="shared" si="7"/>
        <v/>
      </c>
      <c r="K56" s="36" t="str">
        <f t="shared" si="8"/>
        <v/>
      </c>
      <c r="L56" s="36" t="str">
        <f t="shared" si="9"/>
        <v/>
      </c>
      <c r="M56" s="36" t="str">
        <f t="shared" si="10"/>
        <v/>
      </c>
      <c r="N56" s="36" t="str">
        <f t="shared" si="11"/>
        <v/>
      </c>
      <c r="O56" s="36" t="str">
        <f t="shared" si="12"/>
        <v/>
      </c>
      <c r="P56" s="26"/>
      <c r="S56" s="20"/>
    </row>
    <row r="57" spans="2:19" ht="20.25" customHeight="1" x14ac:dyDescent="0.25">
      <c r="B57" s="29">
        <v>15</v>
      </c>
      <c r="C57" s="28">
        <f t="shared" si="3"/>
        <v>0</v>
      </c>
      <c r="D57" s="27"/>
      <c r="E57" s="26" t="str">
        <f t="shared" si="4"/>
        <v/>
      </c>
      <c r="F57" s="26" t="str">
        <f t="shared" si="4"/>
        <v/>
      </c>
      <c r="G57" s="26" t="str">
        <f t="shared" si="4"/>
        <v/>
      </c>
      <c r="H57" s="26" t="str">
        <f t="shared" si="5"/>
        <v/>
      </c>
      <c r="I57" s="26" t="str">
        <f t="shared" si="6"/>
        <v/>
      </c>
      <c r="J57" s="36" t="str">
        <f t="shared" si="7"/>
        <v/>
      </c>
      <c r="K57" s="36" t="str">
        <f t="shared" si="8"/>
        <v/>
      </c>
      <c r="L57" s="36" t="str">
        <f t="shared" si="9"/>
        <v/>
      </c>
      <c r="M57" s="36" t="str">
        <f t="shared" si="10"/>
        <v/>
      </c>
      <c r="N57" s="36" t="str">
        <f t="shared" si="11"/>
        <v/>
      </c>
      <c r="O57" s="36" t="str">
        <f t="shared" si="12"/>
        <v/>
      </c>
      <c r="P57" s="26"/>
      <c r="S57" s="20"/>
    </row>
    <row r="58" spans="2:19" ht="20.25" customHeight="1" x14ac:dyDescent="0.25">
      <c r="B58" s="29">
        <v>16</v>
      </c>
      <c r="C58" s="28">
        <f t="shared" si="3"/>
        <v>0</v>
      </c>
      <c r="D58" s="27"/>
      <c r="E58" s="26" t="str">
        <f t="shared" si="4"/>
        <v/>
      </c>
      <c r="F58" s="26" t="str">
        <f t="shared" si="4"/>
        <v/>
      </c>
      <c r="G58" s="26" t="str">
        <f t="shared" si="4"/>
        <v/>
      </c>
      <c r="H58" s="26" t="str">
        <f t="shared" si="5"/>
        <v/>
      </c>
      <c r="I58" s="26" t="str">
        <f t="shared" si="6"/>
        <v/>
      </c>
      <c r="J58" s="36" t="str">
        <f t="shared" si="7"/>
        <v/>
      </c>
      <c r="K58" s="36" t="str">
        <f t="shared" si="8"/>
        <v/>
      </c>
      <c r="L58" s="36" t="str">
        <f t="shared" si="9"/>
        <v/>
      </c>
      <c r="M58" s="36" t="str">
        <f t="shared" si="10"/>
        <v/>
      </c>
      <c r="N58" s="36" t="str">
        <f t="shared" si="11"/>
        <v/>
      </c>
      <c r="O58" s="36" t="str">
        <f t="shared" si="12"/>
        <v/>
      </c>
      <c r="P58" s="26"/>
      <c r="S58" s="20"/>
    </row>
    <row r="59" spans="2:19" ht="20.25" customHeight="1" x14ac:dyDescent="0.25">
      <c r="B59" s="29">
        <v>17</v>
      </c>
      <c r="C59" s="28">
        <f t="shared" si="3"/>
        <v>0</v>
      </c>
      <c r="D59" s="27"/>
      <c r="E59" s="26" t="str">
        <f t="shared" si="4"/>
        <v/>
      </c>
      <c r="F59" s="26" t="str">
        <f t="shared" si="4"/>
        <v/>
      </c>
      <c r="G59" s="26" t="str">
        <f t="shared" si="4"/>
        <v/>
      </c>
      <c r="H59" s="26" t="str">
        <f t="shared" si="5"/>
        <v/>
      </c>
      <c r="I59" s="26" t="str">
        <f t="shared" si="6"/>
        <v/>
      </c>
      <c r="J59" s="36" t="str">
        <f t="shared" si="7"/>
        <v/>
      </c>
      <c r="K59" s="36" t="str">
        <f t="shared" si="8"/>
        <v/>
      </c>
      <c r="L59" s="36" t="str">
        <f t="shared" si="9"/>
        <v/>
      </c>
      <c r="M59" s="36" t="str">
        <f t="shared" si="10"/>
        <v/>
      </c>
      <c r="N59" s="36" t="str">
        <f t="shared" si="11"/>
        <v/>
      </c>
      <c r="O59" s="36" t="str">
        <f t="shared" si="12"/>
        <v/>
      </c>
      <c r="P59" s="26"/>
      <c r="S59" s="20"/>
    </row>
    <row r="60" spans="2:19" ht="20.25" customHeight="1" x14ac:dyDescent="0.25">
      <c r="B60" s="29">
        <v>18</v>
      </c>
      <c r="C60" s="28">
        <f t="shared" si="3"/>
        <v>0</v>
      </c>
      <c r="D60" s="27"/>
      <c r="E60" s="26" t="str">
        <f t="shared" si="4"/>
        <v/>
      </c>
      <c r="F60" s="26" t="str">
        <f t="shared" si="4"/>
        <v/>
      </c>
      <c r="G60" s="26" t="str">
        <f t="shared" si="4"/>
        <v/>
      </c>
      <c r="H60" s="26" t="str">
        <f t="shared" si="5"/>
        <v/>
      </c>
      <c r="I60" s="26" t="str">
        <f t="shared" si="6"/>
        <v/>
      </c>
      <c r="J60" s="36" t="str">
        <f t="shared" si="7"/>
        <v/>
      </c>
      <c r="K60" s="36" t="str">
        <f t="shared" si="8"/>
        <v/>
      </c>
      <c r="L60" s="36" t="str">
        <f t="shared" si="9"/>
        <v/>
      </c>
      <c r="M60" s="36" t="str">
        <f t="shared" si="10"/>
        <v/>
      </c>
      <c r="N60" s="36" t="str">
        <f t="shared" si="11"/>
        <v/>
      </c>
      <c r="O60" s="36" t="str">
        <f t="shared" si="12"/>
        <v/>
      </c>
      <c r="P60" s="26"/>
      <c r="S60" s="20"/>
    </row>
    <row r="61" spans="2:19" ht="20.25" customHeight="1" x14ac:dyDescent="0.25">
      <c r="B61" s="29">
        <v>19</v>
      </c>
      <c r="C61" s="28">
        <f t="shared" si="3"/>
        <v>0</v>
      </c>
      <c r="D61" s="27"/>
      <c r="E61" s="26" t="str">
        <f t="shared" si="4"/>
        <v/>
      </c>
      <c r="F61" s="26" t="str">
        <f t="shared" si="4"/>
        <v/>
      </c>
      <c r="G61" s="26" t="str">
        <f t="shared" si="4"/>
        <v/>
      </c>
      <c r="H61" s="26" t="str">
        <f t="shared" si="5"/>
        <v/>
      </c>
      <c r="I61" s="26" t="str">
        <f t="shared" si="6"/>
        <v/>
      </c>
      <c r="J61" s="36" t="str">
        <f t="shared" si="7"/>
        <v/>
      </c>
      <c r="K61" s="36" t="str">
        <f t="shared" si="8"/>
        <v/>
      </c>
      <c r="L61" s="36" t="str">
        <f t="shared" si="9"/>
        <v/>
      </c>
      <c r="M61" s="36" t="str">
        <f t="shared" si="10"/>
        <v/>
      </c>
      <c r="N61" s="36" t="str">
        <f t="shared" si="11"/>
        <v/>
      </c>
      <c r="O61" s="36" t="str">
        <f t="shared" si="12"/>
        <v/>
      </c>
      <c r="P61" s="26"/>
      <c r="S61" s="20"/>
    </row>
    <row r="62" spans="2:19" ht="20.25" customHeight="1" x14ac:dyDescent="0.25">
      <c r="B62" s="29">
        <v>20</v>
      </c>
      <c r="C62" s="28">
        <f t="shared" si="3"/>
        <v>0</v>
      </c>
      <c r="D62" s="27"/>
      <c r="E62" s="26" t="str">
        <f t="shared" si="4"/>
        <v/>
      </c>
      <c r="F62" s="26" t="str">
        <f t="shared" si="4"/>
        <v/>
      </c>
      <c r="G62" s="26" t="str">
        <f t="shared" si="4"/>
        <v/>
      </c>
      <c r="H62" s="26" t="str">
        <f t="shared" si="5"/>
        <v/>
      </c>
      <c r="I62" s="26" t="str">
        <f t="shared" si="6"/>
        <v/>
      </c>
      <c r="J62" s="36" t="str">
        <f t="shared" si="7"/>
        <v/>
      </c>
      <c r="K62" s="36" t="str">
        <f t="shared" si="8"/>
        <v/>
      </c>
      <c r="L62" s="36" t="str">
        <f t="shared" si="9"/>
        <v/>
      </c>
      <c r="M62" s="36" t="str">
        <f t="shared" si="10"/>
        <v/>
      </c>
      <c r="N62" s="36" t="str">
        <f t="shared" si="11"/>
        <v/>
      </c>
      <c r="O62" s="36" t="str">
        <f t="shared" si="12"/>
        <v/>
      </c>
      <c r="P62" s="26"/>
      <c r="S62" s="20"/>
    </row>
    <row r="63" spans="2:19" ht="20.25" customHeight="1" x14ac:dyDescent="0.25">
      <c r="B63" s="29">
        <v>21</v>
      </c>
      <c r="C63" s="28">
        <f t="shared" si="3"/>
        <v>0</v>
      </c>
      <c r="D63" s="27"/>
      <c r="E63" s="26" t="str">
        <f t="shared" si="4"/>
        <v/>
      </c>
      <c r="F63" s="26" t="str">
        <f t="shared" si="4"/>
        <v/>
      </c>
      <c r="G63" s="26" t="str">
        <f t="shared" si="4"/>
        <v/>
      </c>
      <c r="H63" s="26" t="str">
        <f t="shared" si="5"/>
        <v/>
      </c>
      <c r="I63" s="26" t="str">
        <f t="shared" si="6"/>
        <v/>
      </c>
      <c r="J63" s="36" t="str">
        <f t="shared" si="7"/>
        <v/>
      </c>
      <c r="K63" s="36" t="str">
        <f t="shared" si="8"/>
        <v/>
      </c>
      <c r="L63" s="36" t="str">
        <f t="shared" si="9"/>
        <v/>
      </c>
      <c r="M63" s="36" t="str">
        <f t="shared" si="10"/>
        <v/>
      </c>
      <c r="N63" s="36" t="str">
        <f t="shared" si="11"/>
        <v/>
      </c>
      <c r="O63" s="36" t="str">
        <f t="shared" si="12"/>
        <v/>
      </c>
      <c r="P63" s="26"/>
      <c r="S63" s="20"/>
    </row>
    <row r="64" spans="2:19" ht="20.25" customHeight="1" x14ac:dyDescent="0.25">
      <c r="B64" s="29">
        <v>22</v>
      </c>
      <c r="C64" s="28">
        <f t="shared" si="3"/>
        <v>0</v>
      </c>
      <c r="D64" s="27"/>
      <c r="E64" s="26" t="str">
        <f t="shared" si="4"/>
        <v/>
      </c>
      <c r="F64" s="26" t="str">
        <f t="shared" si="4"/>
        <v/>
      </c>
      <c r="G64" s="26" t="str">
        <f t="shared" si="4"/>
        <v/>
      </c>
      <c r="H64" s="26" t="str">
        <f t="shared" si="5"/>
        <v/>
      </c>
      <c r="I64" s="26" t="str">
        <f t="shared" si="6"/>
        <v/>
      </c>
      <c r="J64" s="36" t="str">
        <f t="shared" si="7"/>
        <v/>
      </c>
      <c r="K64" s="36" t="str">
        <f t="shared" si="8"/>
        <v/>
      </c>
      <c r="L64" s="36" t="str">
        <f t="shared" si="9"/>
        <v/>
      </c>
      <c r="M64" s="36" t="str">
        <f t="shared" si="10"/>
        <v/>
      </c>
      <c r="N64" s="36" t="str">
        <f t="shared" si="11"/>
        <v/>
      </c>
      <c r="O64" s="36" t="str">
        <f t="shared" si="12"/>
        <v/>
      </c>
      <c r="P64" s="26"/>
      <c r="S64" s="20"/>
    </row>
    <row r="65" spans="1:23" ht="20.25" customHeight="1" x14ac:dyDescent="0.25">
      <c r="B65" s="29">
        <v>23</v>
      </c>
      <c r="C65" s="28">
        <f t="shared" si="3"/>
        <v>0</v>
      </c>
      <c r="D65" s="27"/>
      <c r="E65" s="26" t="str">
        <f t="shared" si="4"/>
        <v/>
      </c>
      <c r="F65" s="26" t="str">
        <f t="shared" si="4"/>
        <v/>
      </c>
      <c r="G65" s="26" t="str">
        <f t="shared" si="4"/>
        <v/>
      </c>
      <c r="H65" s="26" t="str">
        <f t="shared" si="5"/>
        <v/>
      </c>
      <c r="I65" s="26" t="str">
        <f t="shared" si="6"/>
        <v/>
      </c>
      <c r="J65" s="36" t="str">
        <f t="shared" si="7"/>
        <v/>
      </c>
      <c r="K65" s="36" t="str">
        <f t="shared" si="8"/>
        <v/>
      </c>
      <c r="L65" s="36" t="str">
        <f t="shared" si="9"/>
        <v/>
      </c>
      <c r="M65" s="36" t="str">
        <f t="shared" si="10"/>
        <v/>
      </c>
      <c r="N65" s="36" t="str">
        <f t="shared" si="11"/>
        <v/>
      </c>
      <c r="O65" s="36" t="str">
        <f t="shared" si="12"/>
        <v/>
      </c>
      <c r="P65" s="26"/>
      <c r="S65" s="20"/>
    </row>
    <row r="66" spans="1:23" ht="20.25" customHeight="1" x14ac:dyDescent="0.25">
      <c r="B66" s="29">
        <v>24</v>
      </c>
      <c r="C66" s="28">
        <f t="shared" si="3"/>
        <v>0</v>
      </c>
      <c r="D66" s="27"/>
      <c r="E66" s="26" t="str">
        <f t="shared" si="4"/>
        <v/>
      </c>
      <c r="F66" s="26" t="str">
        <f t="shared" si="4"/>
        <v/>
      </c>
      <c r="G66" s="26" t="str">
        <f t="shared" si="4"/>
        <v/>
      </c>
      <c r="H66" s="26" t="str">
        <f t="shared" si="5"/>
        <v/>
      </c>
      <c r="I66" s="26" t="str">
        <f t="shared" si="6"/>
        <v/>
      </c>
      <c r="J66" s="36" t="str">
        <f t="shared" si="7"/>
        <v/>
      </c>
      <c r="K66" s="36" t="str">
        <f t="shared" si="8"/>
        <v/>
      </c>
      <c r="L66" s="36" t="str">
        <f t="shared" si="9"/>
        <v/>
      </c>
      <c r="M66" s="36" t="str">
        <f t="shared" si="10"/>
        <v/>
      </c>
      <c r="N66" s="36" t="str">
        <f t="shared" si="11"/>
        <v/>
      </c>
      <c r="O66" s="36" t="str">
        <f t="shared" si="12"/>
        <v/>
      </c>
      <c r="P66" s="26"/>
      <c r="S66" s="20"/>
    </row>
    <row r="67" spans="1:23" ht="20.25" customHeight="1" x14ac:dyDescent="0.25">
      <c r="B67" s="29">
        <v>25</v>
      </c>
      <c r="C67" s="28">
        <f t="shared" si="3"/>
        <v>0</v>
      </c>
      <c r="D67" s="27"/>
      <c r="E67" s="26" t="str">
        <f t="shared" si="4"/>
        <v/>
      </c>
      <c r="F67" s="26" t="str">
        <f t="shared" si="4"/>
        <v/>
      </c>
      <c r="G67" s="26" t="str">
        <f t="shared" si="4"/>
        <v/>
      </c>
      <c r="H67" s="26" t="str">
        <f t="shared" si="5"/>
        <v/>
      </c>
      <c r="I67" s="26" t="str">
        <f t="shared" si="6"/>
        <v/>
      </c>
      <c r="J67" s="36" t="str">
        <f t="shared" si="7"/>
        <v/>
      </c>
      <c r="K67" s="36" t="str">
        <f t="shared" si="8"/>
        <v/>
      </c>
      <c r="L67" s="36" t="str">
        <f t="shared" si="9"/>
        <v/>
      </c>
      <c r="M67" s="36" t="str">
        <f t="shared" si="10"/>
        <v/>
      </c>
      <c r="N67" s="36" t="str">
        <f t="shared" si="11"/>
        <v/>
      </c>
      <c r="O67" s="36" t="str">
        <f t="shared" si="12"/>
        <v/>
      </c>
      <c r="P67" s="26"/>
      <c r="S67" s="20"/>
    </row>
    <row r="68" spans="1:23" ht="20.25" customHeight="1" x14ac:dyDescent="0.25">
      <c r="S68" s="20"/>
    </row>
    <row r="69" spans="1:23" ht="13" x14ac:dyDescent="0.25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 spans="1:23" ht="13" x14ac:dyDescent="0.25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</row>
    <row r="72" spans="1:23" ht="18" customHeight="1" x14ac:dyDescent="0.25">
      <c r="B72" s="183" t="s">
        <v>3</v>
      </c>
      <c r="C72" s="183" t="s">
        <v>53</v>
      </c>
      <c r="D72" s="183" t="s">
        <v>52</v>
      </c>
      <c r="E72" s="184" t="str">
        <f>+"Precio (USD/"&amp;D3&amp;"Pza)"</f>
        <v>Precio (USD/TMPza)</v>
      </c>
      <c r="F72" s="184"/>
      <c r="G72" s="184"/>
      <c r="H72" s="184"/>
      <c r="I72" s="184"/>
      <c r="J72" s="184"/>
      <c r="K72" s="185" t="s">
        <v>51</v>
      </c>
      <c r="L72" s="186"/>
      <c r="M72" s="186"/>
      <c r="N72" s="186"/>
      <c r="O72" s="187"/>
      <c r="P72" s="20"/>
    </row>
    <row r="73" spans="1:23" ht="46.5" x14ac:dyDescent="0.25">
      <c r="B73" s="183"/>
      <c r="C73" s="183"/>
      <c r="D73" s="183"/>
      <c r="E73" s="35">
        <f t="shared" ref="E73:J73" si="13">+E6</f>
        <v>2021</v>
      </c>
      <c r="F73" s="35">
        <f t="shared" si="13"/>
        <v>2022</v>
      </c>
      <c r="G73" s="35">
        <f t="shared" si="13"/>
        <v>2023</v>
      </c>
      <c r="H73" s="35">
        <f t="shared" si="13"/>
        <v>2024</v>
      </c>
      <c r="I73" s="35" t="str">
        <f t="shared" si="13"/>
        <v>Ene - Jun  2024</v>
      </c>
      <c r="J73" s="35" t="str">
        <f t="shared" si="13"/>
        <v>Ene - Jun  2025</v>
      </c>
      <c r="K73" s="34" t="str">
        <f>+E38</f>
        <v>2022 / 2021</v>
      </c>
      <c r="L73" s="33" t="str">
        <f>+F38</f>
        <v>2023 / 2022</v>
      </c>
      <c r="M73" s="33" t="str">
        <f>+G38</f>
        <v>2024 / 2023</v>
      </c>
      <c r="N73" s="33" t="str">
        <f>+H38</f>
        <v>2021 / 2024</v>
      </c>
      <c r="O73" s="33" t="str">
        <f>+I38</f>
        <v>Ene - Jun  2025 / Ene - Jun  2024</v>
      </c>
      <c r="P73" s="20"/>
      <c r="W73" s="30"/>
    </row>
    <row r="74" spans="1:23" ht="20.25" customHeight="1" x14ac:dyDescent="0.25">
      <c r="B74" s="32" t="s">
        <v>50</v>
      </c>
      <c r="C74" s="32" t="s">
        <v>49</v>
      </c>
      <c r="D74" s="32"/>
      <c r="E74" s="31">
        <f t="shared" ref="E74:J74" si="14">IF(E7=0,0,K7/E7)</f>
        <v>675.45508843886182</v>
      </c>
      <c r="F74" s="31">
        <f t="shared" si="14"/>
        <v>893.91350505117475</v>
      </c>
      <c r="G74" s="31">
        <f t="shared" si="14"/>
        <v>804.10540771058618</v>
      </c>
      <c r="H74" s="31">
        <f t="shared" si="14"/>
        <v>685.86249386815803</v>
      </c>
      <c r="I74" s="31">
        <f t="shared" si="14"/>
        <v>670.6915363330636</v>
      </c>
      <c r="J74" s="31">
        <f t="shared" si="14"/>
        <v>715.32955656765853</v>
      </c>
      <c r="K74" s="25">
        <f>+IF(OR(E74=0,E74=""),"",((F74-E74)/E74*100))</f>
        <v>32.342404454635549</v>
      </c>
      <c r="L74" s="25">
        <f>+IF(OR(F74=0,F74=""),"",((G74-F74)/F74*100))</f>
        <v>-10.046620487677634</v>
      </c>
      <c r="M74" s="25">
        <f>+IF(OR(G74=0,G74=""),"",((H74-G74)/G74*100))</f>
        <v>-14.704902206675143</v>
      </c>
      <c r="N74" s="25">
        <f>+IF(OR(H74=0,H74=""),"",((E74-H74)/H74*100))</f>
        <v>-1.5174186549551723</v>
      </c>
      <c r="O74" s="25">
        <f>+IF(OR(I74=0,I74=""),"",(J74-I74)/I74*100)</f>
        <v>6.6555216245382605</v>
      </c>
      <c r="P74" s="20"/>
      <c r="W74" s="30"/>
    </row>
    <row r="75" spans="1:23" ht="20.25" customHeight="1" x14ac:dyDescent="0.25">
      <c r="B75" s="29">
        <v>1</v>
      </c>
      <c r="C75" s="28" t="str">
        <f t="shared" ref="C75:C99" si="15">+C8</f>
        <v>COSTA RICA</v>
      </c>
      <c r="D75" s="27"/>
      <c r="E75" s="26">
        <f t="shared" ref="E75:E94" si="16">IF(OR(E8=0,E8=""),"",(K8/E8))</f>
        <v>689.34425454193968</v>
      </c>
      <c r="F75" s="26">
        <f t="shared" ref="F75:F94" si="17">IF(OR(F8=0,F8=""),"",(L8/F8))</f>
        <v>889.62334969818016</v>
      </c>
      <c r="G75" s="26">
        <f t="shared" ref="G75:G94" si="18">IF(OR(G8=0,G8=""),"",(M8/G8))</f>
        <v>809.03870607133342</v>
      </c>
      <c r="H75" s="26">
        <f t="shared" ref="H75:H94" si="19">IF(OR(H8=0,H8=""),"",(N8/H8))</f>
        <v>666.09630435115537</v>
      </c>
      <c r="I75" s="26">
        <f t="shared" ref="I75:I94" si="20">IF(OR(I8=0,I8=""),"",(O8/I8))</f>
        <v>655.18846577504667</v>
      </c>
      <c r="J75" s="26">
        <f t="shared" ref="J75:J94" si="21">IF(OR(J8=0,J8=""),"",(P8/J8))</f>
        <v>761.25894991740029</v>
      </c>
      <c r="K75" s="26">
        <f t="shared" ref="K75:K99" si="22">+IF(OR(E75=0,E75="",F75=0,F75=""),"",((F75-E75)/E75*100))</f>
        <v>29.053567043845657</v>
      </c>
      <c r="L75" s="26">
        <f t="shared" ref="L75:L99" si="23">+IF(OR(F75=0,F75="",G75=0,G75=""),"",((G75-F75)/F75*100))</f>
        <v>-9.0582878309327715</v>
      </c>
      <c r="M75" s="26">
        <f t="shared" ref="M75:M99" si="24">+IF(OR(G75=0,G75="",H75=0,H75=""),"",((H75-G75)/G75*100))</f>
        <v>-17.668178376075712</v>
      </c>
      <c r="N75" s="25">
        <f>+IF(OR(H75=0,H75=""),"",((E75-H75)/H75*100))</f>
        <v>3.4901785280778799</v>
      </c>
      <c r="O75" s="25">
        <f>+IF(OR(I75=0,I75=""),"",(J75-I75)/I75*100)</f>
        <v>16.189308829922535</v>
      </c>
      <c r="P75" s="20"/>
      <c r="W75" s="30"/>
    </row>
    <row r="76" spans="1:23" ht="20.25" customHeight="1" x14ac:dyDescent="0.25">
      <c r="B76" s="29">
        <v>2</v>
      </c>
      <c r="C76" s="28" t="str">
        <f t="shared" si="15"/>
        <v>ESTADOS UNIDOS (EEUU)</v>
      </c>
      <c r="D76" s="27"/>
      <c r="E76" s="26">
        <f t="shared" si="16"/>
        <v>771.86823145177061</v>
      </c>
      <c r="F76" s="26">
        <f t="shared" si="17"/>
        <v>907.05273461828074</v>
      </c>
      <c r="G76" s="26">
        <f t="shared" si="18"/>
        <v>880.23497101498322</v>
      </c>
      <c r="H76" s="26">
        <f t="shared" si="19"/>
        <v>757.74548285533115</v>
      </c>
      <c r="I76" s="26">
        <f t="shared" si="20"/>
        <v>775.98558337553118</v>
      </c>
      <c r="J76" s="26">
        <f t="shared" si="21"/>
        <v>743.64446208263587</v>
      </c>
      <c r="K76" s="26">
        <f t="shared" si="22"/>
        <v>17.51393536591705</v>
      </c>
      <c r="L76" s="26">
        <f t="shared" si="23"/>
        <v>-2.9565826307313174</v>
      </c>
      <c r="M76" s="26">
        <f t="shared" si="24"/>
        <v>-13.91554439360795</v>
      </c>
      <c r="N76" s="25">
        <f>+IF(OR(H76=0,H76=""),"",((E76-H76)/H76*100))</f>
        <v>1.8637852571845395</v>
      </c>
      <c r="O76" s="25">
        <f>+IF(OR(I76=0,I76=""),"",(J76-I76)/I76*100)</f>
        <v>-4.1677476986378643</v>
      </c>
      <c r="P76" s="20"/>
      <c r="W76" s="30"/>
    </row>
    <row r="77" spans="1:23" ht="20.25" customHeight="1" x14ac:dyDescent="0.25">
      <c r="B77" s="29">
        <v>3</v>
      </c>
      <c r="C77" s="28" t="str">
        <f t="shared" si="15"/>
        <v>JAPON</v>
      </c>
      <c r="D77" s="27"/>
      <c r="E77" s="26" t="str">
        <f t="shared" si="16"/>
        <v/>
      </c>
      <c r="F77" s="26">
        <f t="shared" si="17"/>
        <v>1020</v>
      </c>
      <c r="G77" s="26" t="str">
        <f t="shared" si="18"/>
        <v/>
      </c>
      <c r="H77" s="26" t="str">
        <f t="shared" si="19"/>
        <v/>
      </c>
      <c r="I77" s="26" t="str">
        <f t="shared" si="20"/>
        <v/>
      </c>
      <c r="J77" s="26">
        <f t="shared" si="21"/>
        <v>561</v>
      </c>
      <c r="K77" s="26" t="str">
        <f t="shared" si="22"/>
        <v/>
      </c>
      <c r="L77" s="26" t="str">
        <f t="shared" si="23"/>
        <v/>
      </c>
      <c r="M77" s="26" t="str">
        <f t="shared" si="24"/>
        <v/>
      </c>
      <c r="N77" s="25" t="str">
        <f>+IF(OR(H77=0,H77=""),"",((E77-H77)/H77*100))</f>
        <v/>
      </c>
      <c r="O77" s="25" t="str">
        <f>+IF(OR(I77=0,I77=""),"",(J77-I77)/I77*100)</f>
        <v/>
      </c>
      <c r="P77" s="20"/>
      <c r="W77" s="30"/>
    </row>
    <row r="78" spans="1:23" ht="20.25" customHeight="1" x14ac:dyDescent="0.25">
      <c r="B78" s="29">
        <v>4</v>
      </c>
      <c r="C78" s="28" t="str">
        <f t="shared" si="15"/>
        <v>COLOMBIA</v>
      </c>
      <c r="D78" s="27"/>
      <c r="E78" s="26" t="str">
        <f t="shared" si="16"/>
        <v/>
      </c>
      <c r="F78" s="26" t="str">
        <f t="shared" si="17"/>
        <v/>
      </c>
      <c r="G78" s="26" t="str">
        <f t="shared" si="18"/>
        <v/>
      </c>
      <c r="H78" s="26" t="str">
        <f t="shared" si="19"/>
        <v/>
      </c>
      <c r="I78" s="26" t="str">
        <f t="shared" si="20"/>
        <v/>
      </c>
      <c r="J78" s="26">
        <f t="shared" si="21"/>
        <v>621.22103430836546</v>
      </c>
      <c r="K78" s="26" t="str">
        <f t="shared" si="22"/>
        <v/>
      </c>
      <c r="L78" s="26" t="str">
        <f t="shared" si="23"/>
        <v/>
      </c>
      <c r="M78" s="26" t="str">
        <f t="shared" si="24"/>
        <v/>
      </c>
      <c r="N78" s="25" t="str">
        <f>+IF(OR(H78=0,H78=""),"",((E78-H78)/H78*100))</f>
        <v/>
      </c>
      <c r="O78" s="25" t="str">
        <f>+IF(OR(I78=0,I78=""),"",(J78-I78)/I78*100)</f>
        <v/>
      </c>
      <c r="P78" s="20"/>
      <c r="W78" s="30"/>
    </row>
    <row r="79" spans="1:23" ht="20.25" customHeight="1" x14ac:dyDescent="0.25">
      <c r="B79" s="29">
        <v>5</v>
      </c>
      <c r="C79" s="28" t="str">
        <f t="shared" si="15"/>
        <v>TURQUIA</v>
      </c>
      <c r="D79" s="27"/>
      <c r="E79" s="26">
        <f t="shared" si="16"/>
        <v>59452.600000000006</v>
      </c>
      <c r="F79" s="26" t="str">
        <f t="shared" si="17"/>
        <v/>
      </c>
      <c r="G79" s="26">
        <f t="shared" si="18"/>
        <v>999.74935530883261</v>
      </c>
      <c r="H79" s="26">
        <f t="shared" si="19"/>
        <v>647.23905989404807</v>
      </c>
      <c r="I79" s="26">
        <f t="shared" si="20"/>
        <v>634.06281077738515</v>
      </c>
      <c r="J79" s="26">
        <f t="shared" si="21"/>
        <v>658.99999999999989</v>
      </c>
      <c r="K79" s="26" t="str">
        <f t="shared" si="22"/>
        <v/>
      </c>
      <c r="L79" s="26" t="str">
        <f t="shared" si="23"/>
        <v/>
      </c>
      <c r="M79" s="26">
        <f t="shared" si="24"/>
        <v>-35.259867240013435</v>
      </c>
      <c r="N79" s="25"/>
      <c r="O79" s="25"/>
      <c r="P79" s="20"/>
      <c r="W79" s="30"/>
    </row>
    <row r="80" spans="1:23" ht="20.25" customHeight="1" x14ac:dyDescent="0.25">
      <c r="B80" s="29">
        <v>6</v>
      </c>
      <c r="C80" s="28" t="str">
        <f t="shared" si="15"/>
        <v>RUSIA</v>
      </c>
      <c r="D80" s="27"/>
      <c r="E80" s="26">
        <f t="shared" si="16"/>
        <v>454.69999999999959</v>
      </c>
      <c r="F80" s="26" t="str">
        <f t="shared" si="17"/>
        <v/>
      </c>
      <c r="G80" s="26">
        <f t="shared" si="18"/>
        <v>618.07294994942686</v>
      </c>
      <c r="H80" s="26">
        <f t="shared" si="19"/>
        <v>609.93032740847559</v>
      </c>
      <c r="I80" s="26">
        <f t="shared" si="20"/>
        <v>609.92218181800729</v>
      </c>
      <c r="J80" s="26">
        <f t="shared" si="21"/>
        <v>603.78938833284712</v>
      </c>
      <c r="K80" s="26" t="str">
        <f t="shared" si="22"/>
        <v/>
      </c>
      <c r="L80" s="26" t="str">
        <f t="shared" si="23"/>
        <v/>
      </c>
      <c r="M80" s="26">
        <f t="shared" si="24"/>
        <v>-1.3174209519471005</v>
      </c>
      <c r="N80" s="25"/>
      <c r="O80" s="25"/>
      <c r="P80" s="20"/>
      <c r="W80" s="30"/>
    </row>
    <row r="81" spans="2:23" ht="20.25" customHeight="1" x14ac:dyDescent="0.25">
      <c r="B81" s="29">
        <v>7</v>
      </c>
      <c r="C81" s="28" t="str">
        <f t="shared" si="15"/>
        <v>CHINA</v>
      </c>
      <c r="D81" s="27"/>
      <c r="E81" s="26" t="str">
        <f t="shared" si="16"/>
        <v/>
      </c>
      <c r="F81" s="26" t="str">
        <f t="shared" si="17"/>
        <v/>
      </c>
      <c r="G81" s="26" t="str">
        <f t="shared" si="18"/>
        <v/>
      </c>
      <c r="H81" s="26">
        <f t="shared" si="19"/>
        <v>532.58431372549023</v>
      </c>
      <c r="I81" s="26">
        <f t="shared" si="20"/>
        <v>532.58431372549023</v>
      </c>
      <c r="J81" s="26" t="str">
        <f t="shared" si="21"/>
        <v/>
      </c>
      <c r="K81" s="26" t="str">
        <f t="shared" si="22"/>
        <v/>
      </c>
      <c r="L81" s="26" t="str">
        <f t="shared" si="23"/>
        <v/>
      </c>
      <c r="M81" s="26" t="str">
        <f t="shared" si="24"/>
        <v/>
      </c>
      <c r="N81" s="25" t="e">
        <f t="shared" ref="N81:N99" si="25">+IF(OR(H81=0,H81=""),"",((E81-H81)/H81*100))</f>
        <v>#VALUE!</v>
      </c>
      <c r="O81" s="25" t="e">
        <f t="shared" ref="O81:O99" si="26">+IF(OR(I81=0,I81=""),"",(J81-I81)/I81*100)</f>
        <v>#VALUE!</v>
      </c>
      <c r="P81" s="20"/>
      <c r="W81" s="30"/>
    </row>
    <row r="82" spans="2:23" ht="20.25" customHeight="1" x14ac:dyDescent="0.25">
      <c r="B82" s="29">
        <v>8</v>
      </c>
      <c r="C82" s="28" t="str">
        <f t="shared" si="15"/>
        <v>ISLAS VIRGENES (G.B.)</v>
      </c>
      <c r="D82" s="27"/>
      <c r="E82" s="26" t="str">
        <f t="shared" si="16"/>
        <v/>
      </c>
      <c r="F82" s="26" t="str">
        <f t="shared" si="17"/>
        <v/>
      </c>
      <c r="G82" s="26" t="str">
        <f t="shared" si="18"/>
        <v/>
      </c>
      <c r="H82" s="26">
        <f t="shared" si="19"/>
        <v>728.29823788546264</v>
      </c>
      <c r="I82" s="26" t="str">
        <f t="shared" si="20"/>
        <v/>
      </c>
      <c r="J82" s="26" t="str">
        <f t="shared" si="21"/>
        <v/>
      </c>
      <c r="K82" s="26" t="str">
        <f t="shared" si="22"/>
        <v/>
      </c>
      <c r="L82" s="26" t="str">
        <f t="shared" si="23"/>
        <v/>
      </c>
      <c r="M82" s="26" t="str">
        <f t="shared" si="24"/>
        <v/>
      </c>
      <c r="N82" s="25" t="e">
        <f t="shared" si="25"/>
        <v>#VALUE!</v>
      </c>
      <c r="O82" s="25" t="str">
        <f t="shared" si="26"/>
        <v/>
      </c>
      <c r="P82" s="20"/>
      <c r="W82" s="30"/>
    </row>
    <row r="83" spans="2:23" ht="20.25" customHeight="1" x14ac:dyDescent="0.25">
      <c r="B83" s="29">
        <v>9</v>
      </c>
      <c r="C83" s="28">
        <f t="shared" si="15"/>
        <v>0</v>
      </c>
      <c r="D83" s="27"/>
      <c r="E83" s="26" t="str">
        <f t="shared" si="16"/>
        <v/>
      </c>
      <c r="F83" s="26" t="str">
        <f t="shared" si="17"/>
        <v/>
      </c>
      <c r="G83" s="26" t="str">
        <f t="shared" si="18"/>
        <v/>
      </c>
      <c r="H83" s="26" t="str">
        <f t="shared" si="19"/>
        <v/>
      </c>
      <c r="I83" s="26" t="str">
        <f t="shared" si="20"/>
        <v/>
      </c>
      <c r="J83" s="26" t="str">
        <f t="shared" si="21"/>
        <v/>
      </c>
      <c r="K83" s="26" t="str">
        <f t="shared" si="22"/>
        <v/>
      </c>
      <c r="L83" s="26" t="str">
        <f t="shared" si="23"/>
        <v/>
      </c>
      <c r="M83" s="26" t="str">
        <f t="shared" si="24"/>
        <v/>
      </c>
      <c r="N83" s="25" t="str">
        <f t="shared" si="25"/>
        <v/>
      </c>
      <c r="O83" s="25" t="str">
        <f t="shared" si="26"/>
        <v/>
      </c>
      <c r="P83" s="20"/>
      <c r="W83" s="30"/>
    </row>
    <row r="84" spans="2:23" ht="20.25" customHeight="1" x14ac:dyDescent="0.25">
      <c r="B84" s="29">
        <v>10</v>
      </c>
      <c r="C84" s="28">
        <f t="shared" si="15"/>
        <v>0</v>
      </c>
      <c r="D84" s="27"/>
      <c r="E84" s="26" t="str">
        <f t="shared" si="16"/>
        <v/>
      </c>
      <c r="F84" s="26" t="str">
        <f t="shared" si="17"/>
        <v/>
      </c>
      <c r="G84" s="26" t="str">
        <f t="shared" si="18"/>
        <v/>
      </c>
      <c r="H84" s="26" t="str">
        <f t="shared" si="19"/>
        <v/>
      </c>
      <c r="I84" s="26" t="str">
        <f t="shared" si="20"/>
        <v/>
      </c>
      <c r="J84" s="26" t="str">
        <f t="shared" si="21"/>
        <v/>
      </c>
      <c r="K84" s="26" t="str">
        <f t="shared" si="22"/>
        <v/>
      </c>
      <c r="L84" s="26" t="str">
        <f t="shared" si="23"/>
        <v/>
      </c>
      <c r="M84" s="26" t="str">
        <f t="shared" si="24"/>
        <v/>
      </c>
      <c r="N84" s="25" t="str">
        <f t="shared" si="25"/>
        <v/>
      </c>
      <c r="O84" s="25" t="str">
        <f t="shared" si="26"/>
        <v/>
      </c>
      <c r="P84" s="20"/>
      <c r="W84" s="30"/>
    </row>
    <row r="85" spans="2:23" ht="20.25" customHeight="1" x14ac:dyDescent="0.25">
      <c r="B85" s="29">
        <v>11</v>
      </c>
      <c r="C85" s="28">
        <f t="shared" si="15"/>
        <v>0</v>
      </c>
      <c r="D85" s="27"/>
      <c r="E85" s="26" t="str">
        <f t="shared" si="16"/>
        <v/>
      </c>
      <c r="F85" s="26" t="str">
        <f t="shared" si="17"/>
        <v/>
      </c>
      <c r="G85" s="26" t="str">
        <f t="shared" si="18"/>
        <v/>
      </c>
      <c r="H85" s="26" t="str">
        <f t="shared" si="19"/>
        <v/>
      </c>
      <c r="I85" s="26" t="str">
        <f t="shared" si="20"/>
        <v/>
      </c>
      <c r="J85" s="26" t="str">
        <f t="shared" si="21"/>
        <v/>
      </c>
      <c r="K85" s="26" t="str">
        <f t="shared" si="22"/>
        <v/>
      </c>
      <c r="L85" s="26" t="str">
        <f t="shared" si="23"/>
        <v/>
      </c>
      <c r="M85" s="26" t="str">
        <f t="shared" si="24"/>
        <v/>
      </c>
      <c r="N85" s="25" t="str">
        <f t="shared" si="25"/>
        <v/>
      </c>
      <c r="O85" s="25" t="str">
        <f t="shared" si="26"/>
        <v/>
      </c>
      <c r="P85" s="20"/>
      <c r="W85" s="30"/>
    </row>
    <row r="86" spans="2:23" ht="20.25" customHeight="1" x14ac:dyDescent="0.25">
      <c r="B86" s="29">
        <v>12</v>
      </c>
      <c r="C86" s="28">
        <f t="shared" si="15"/>
        <v>0</v>
      </c>
      <c r="D86" s="27"/>
      <c r="E86" s="26" t="str">
        <f t="shared" si="16"/>
        <v/>
      </c>
      <c r="F86" s="26" t="str">
        <f t="shared" si="17"/>
        <v/>
      </c>
      <c r="G86" s="26" t="str">
        <f t="shared" si="18"/>
        <v/>
      </c>
      <c r="H86" s="26" t="str">
        <f t="shared" si="19"/>
        <v/>
      </c>
      <c r="I86" s="26" t="str">
        <f t="shared" si="20"/>
        <v/>
      </c>
      <c r="J86" s="26" t="str">
        <f t="shared" si="21"/>
        <v/>
      </c>
      <c r="K86" s="26" t="str">
        <f t="shared" si="22"/>
        <v/>
      </c>
      <c r="L86" s="26" t="str">
        <f t="shared" si="23"/>
        <v/>
      </c>
      <c r="M86" s="26" t="str">
        <f t="shared" si="24"/>
        <v/>
      </c>
      <c r="N86" s="25" t="str">
        <f t="shared" si="25"/>
        <v/>
      </c>
      <c r="O86" s="25" t="str">
        <f t="shared" si="26"/>
        <v/>
      </c>
      <c r="P86" s="20"/>
      <c r="W86" s="30"/>
    </row>
    <row r="87" spans="2:23" ht="20.25" customHeight="1" x14ac:dyDescent="0.25">
      <c r="B87" s="29">
        <v>13</v>
      </c>
      <c r="C87" s="28">
        <f t="shared" si="15"/>
        <v>0</v>
      </c>
      <c r="D87" s="27"/>
      <c r="E87" s="26" t="str">
        <f t="shared" si="16"/>
        <v/>
      </c>
      <c r="F87" s="26" t="str">
        <f t="shared" si="17"/>
        <v/>
      </c>
      <c r="G87" s="26" t="str">
        <f t="shared" si="18"/>
        <v/>
      </c>
      <c r="H87" s="26" t="str">
        <f t="shared" si="19"/>
        <v/>
      </c>
      <c r="I87" s="26" t="str">
        <f t="shared" si="20"/>
        <v/>
      </c>
      <c r="J87" s="26" t="str">
        <f t="shared" si="21"/>
        <v/>
      </c>
      <c r="K87" s="26" t="str">
        <f t="shared" si="22"/>
        <v/>
      </c>
      <c r="L87" s="26" t="str">
        <f t="shared" si="23"/>
        <v/>
      </c>
      <c r="M87" s="26" t="str">
        <f t="shared" si="24"/>
        <v/>
      </c>
      <c r="N87" s="25" t="str">
        <f t="shared" si="25"/>
        <v/>
      </c>
      <c r="O87" s="25" t="str">
        <f t="shared" si="26"/>
        <v/>
      </c>
      <c r="P87" s="20"/>
      <c r="W87" s="30"/>
    </row>
    <row r="88" spans="2:23" ht="20.25" customHeight="1" x14ac:dyDescent="0.25">
      <c r="B88" s="29">
        <v>14</v>
      </c>
      <c r="C88" s="28">
        <f t="shared" si="15"/>
        <v>0</v>
      </c>
      <c r="D88" s="27"/>
      <c r="E88" s="26" t="str">
        <f t="shared" si="16"/>
        <v/>
      </c>
      <c r="F88" s="26" t="str">
        <f t="shared" si="17"/>
        <v/>
      </c>
      <c r="G88" s="26" t="str">
        <f t="shared" si="18"/>
        <v/>
      </c>
      <c r="H88" s="26" t="str">
        <f t="shared" si="19"/>
        <v/>
      </c>
      <c r="I88" s="26" t="str">
        <f t="shared" si="20"/>
        <v/>
      </c>
      <c r="J88" s="26" t="str">
        <f t="shared" si="21"/>
        <v/>
      </c>
      <c r="K88" s="26" t="str">
        <f t="shared" si="22"/>
        <v/>
      </c>
      <c r="L88" s="26" t="str">
        <f t="shared" si="23"/>
        <v/>
      </c>
      <c r="M88" s="26" t="str">
        <f t="shared" si="24"/>
        <v/>
      </c>
      <c r="N88" s="25" t="str">
        <f t="shared" si="25"/>
        <v/>
      </c>
      <c r="O88" s="25" t="str">
        <f t="shared" si="26"/>
        <v/>
      </c>
      <c r="P88" s="20"/>
      <c r="W88" s="30"/>
    </row>
    <row r="89" spans="2:23" ht="20.25" customHeight="1" x14ac:dyDescent="0.25">
      <c r="B89" s="29">
        <v>15</v>
      </c>
      <c r="C89" s="28">
        <f t="shared" si="15"/>
        <v>0</v>
      </c>
      <c r="D89" s="27"/>
      <c r="E89" s="26" t="str">
        <f t="shared" si="16"/>
        <v/>
      </c>
      <c r="F89" s="26" t="str">
        <f t="shared" si="17"/>
        <v/>
      </c>
      <c r="G89" s="26" t="str">
        <f t="shared" si="18"/>
        <v/>
      </c>
      <c r="H89" s="26" t="str">
        <f t="shared" si="19"/>
        <v/>
      </c>
      <c r="I89" s="26" t="str">
        <f t="shared" si="20"/>
        <v/>
      </c>
      <c r="J89" s="26" t="str">
        <f t="shared" si="21"/>
        <v/>
      </c>
      <c r="K89" s="26" t="str">
        <f t="shared" si="22"/>
        <v/>
      </c>
      <c r="L89" s="26" t="str">
        <f t="shared" si="23"/>
        <v/>
      </c>
      <c r="M89" s="26" t="str">
        <f t="shared" si="24"/>
        <v/>
      </c>
      <c r="N89" s="25" t="str">
        <f t="shared" si="25"/>
        <v/>
      </c>
      <c r="O89" s="25" t="str">
        <f t="shared" si="26"/>
        <v/>
      </c>
      <c r="P89" s="20"/>
      <c r="W89" s="30"/>
    </row>
    <row r="90" spans="2:23" ht="20.25" customHeight="1" x14ac:dyDescent="0.25">
      <c r="B90" s="29">
        <v>16</v>
      </c>
      <c r="C90" s="28">
        <f t="shared" si="15"/>
        <v>0</v>
      </c>
      <c r="D90" s="27"/>
      <c r="E90" s="26" t="str">
        <f t="shared" si="16"/>
        <v/>
      </c>
      <c r="F90" s="26" t="str">
        <f t="shared" si="17"/>
        <v/>
      </c>
      <c r="G90" s="26" t="str">
        <f t="shared" si="18"/>
        <v/>
      </c>
      <c r="H90" s="26" t="str">
        <f t="shared" si="19"/>
        <v/>
      </c>
      <c r="I90" s="26" t="str">
        <f t="shared" si="20"/>
        <v/>
      </c>
      <c r="J90" s="26" t="str">
        <f t="shared" si="21"/>
        <v/>
      </c>
      <c r="K90" s="26" t="str">
        <f t="shared" si="22"/>
        <v/>
      </c>
      <c r="L90" s="26" t="str">
        <f t="shared" si="23"/>
        <v/>
      </c>
      <c r="M90" s="26" t="str">
        <f t="shared" si="24"/>
        <v/>
      </c>
      <c r="N90" s="25" t="str">
        <f t="shared" si="25"/>
        <v/>
      </c>
      <c r="O90" s="25" t="str">
        <f t="shared" si="26"/>
        <v/>
      </c>
      <c r="P90" s="20"/>
      <c r="W90" s="30"/>
    </row>
    <row r="91" spans="2:23" ht="20.25" customHeight="1" x14ac:dyDescent="0.25">
      <c r="B91" s="29">
        <v>17</v>
      </c>
      <c r="C91" s="28">
        <f t="shared" si="15"/>
        <v>0</v>
      </c>
      <c r="D91" s="27"/>
      <c r="E91" s="26" t="str">
        <f t="shared" si="16"/>
        <v/>
      </c>
      <c r="F91" s="26" t="str">
        <f t="shared" si="17"/>
        <v/>
      </c>
      <c r="G91" s="26" t="str">
        <f t="shared" si="18"/>
        <v/>
      </c>
      <c r="H91" s="26" t="str">
        <f t="shared" si="19"/>
        <v/>
      </c>
      <c r="I91" s="26" t="str">
        <f t="shared" si="20"/>
        <v/>
      </c>
      <c r="J91" s="26" t="str">
        <f t="shared" si="21"/>
        <v/>
      </c>
      <c r="K91" s="26" t="str">
        <f t="shared" si="22"/>
        <v/>
      </c>
      <c r="L91" s="26" t="str">
        <f t="shared" si="23"/>
        <v/>
      </c>
      <c r="M91" s="26" t="str">
        <f t="shared" si="24"/>
        <v/>
      </c>
      <c r="N91" s="25" t="str">
        <f t="shared" si="25"/>
        <v/>
      </c>
      <c r="O91" s="25" t="str">
        <f t="shared" si="26"/>
        <v/>
      </c>
      <c r="P91" s="20"/>
      <c r="W91" s="30"/>
    </row>
    <row r="92" spans="2:23" ht="20.25" customHeight="1" x14ac:dyDescent="0.25">
      <c r="B92" s="29">
        <v>18</v>
      </c>
      <c r="C92" s="28">
        <f t="shared" si="15"/>
        <v>0</v>
      </c>
      <c r="D92" s="27"/>
      <c r="E92" s="26" t="str">
        <f t="shared" si="16"/>
        <v/>
      </c>
      <c r="F92" s="26" t="str">
        <f t="shared" si="17"/>
        <v/>
      </c>
      <c r="G92" s="26" t="str">
        <f t="shared" si="18"/>
        <v/>
      </c>
      <c r="H92" s="26" t="str">
        <f t="shared" si="19"/>
        <v/>
      </c>
      <c r="I92" s="26" t="str">
        <f t="shared" si="20"/>
        <v/>
      </c>
      <c r="J92" s="26" t="str">
        <f t="shared" si="21"/>
        <v/>
      </c>
      <c r="K92" s="26" t="str">
        <f t="shared" si="22"/>
        <v/>
      </c>
      <c r="L92" s="26" t="str">
        <f t="shared" si="23"/>
        <v/>
      </c>
      <c r="M92" s="26" t="str">
        <f t="shared" si="24"/>
        <v/>
      </c>
      <c r="N92" s="25" t="str">
        <f t="shared" si="25"/>
        <v/>
      </c>
      <c r="O92" s="25" t="str">
        <f t="shared" si="26"/>
        <v/>
      </c>
      <c r="P92" s="20"/>
      <c r="W92" s="23"/>
    </row>
    <row r="93" spans="2:23" ht="20.25" customHeight="1" x14ac:dyDescent="0.25">
      <c r="B93" s="29">
        <v>19</v>
      </c>
      <c r="C93" s="28">
        <f t="shared" si="15"/>
        <v>0</v>
      </c>
      <c r="D93" s="27"/>
      <c r="E93" s="26" t="str">
        <f t="shared" si="16"/>
        <v/>
      </c>
      <c r="F93" s="26" t="str">
        <f t="shared" si="17"/>
        <v/>
      </c>
      <c r="G93" s="26" t="str">
        <f t="shared" si="18"/>
        <v/>
      </c>
      <c r="H93" s="26" t="str">
        <f t="shared" si="19"/>
        <v/>
      </c>
      <c r="I93" s="26" t="str">
        <f t="shared" si="20"/>
        <v/>
      </c>
      <c r="J93" s="26" t="str">
        <f t="shared" si="21"/>
        <v/>
      </c>
      <c r="K93" s="26" t="str">
        <f t="shared" si="22"/>
        <v/>
      </c>
      <c r="L93" s="26" t="str">
        <f t="shared" si="23"/>
        <v/>
      </c>
      <c r="M93" s="26" t="str">
        <f t="shared" si="24"/>
        <v/>
      </c>
      <c r="N93" s="25" t="str">
        <f t="shared" si="25"/>
        <v/>
      </c>
      <c r="O93" s="25" t="str">
        <f t="shared" si="26"/>
        <v/>
      </c>
      <c r="P93" s="20"/>
      <c r="W93" s="23"/>
    </row>
    <row r="94" spans="2:23" ht="20.25" customHeight="1" x14ac:dyDescent="0.25">
      <c r="B94" s="29">
        <v>20</v>
      </c>
      <c r="C94" s="28">
        <f t="shared" si="15"/>
        <v>0</v>
      </c>
      <c r="D94" s="27"/>
      <c r="E94" s="26" t="str">
        <f t="shared" si="16"/>
        <v/>
      </c>
      <c r="F94" s="26" t="str">
        <f t="shared" si="17"/>
        <v/>
      </c>
      <c r="G94" s="26" t="str">
        <f t="shared" si="18"/>
        <v/>
      </c>
      <c r="H94" s="26" t="str">
        <f t="shared" si="19"/>
        <v/>
      </c>
      <c r="I94" s="26" t="str">
        <f t="shared" si="20"/>
        <v/>
      </c>
      <c r="J94" s="26" t="str">
        <f t="shared" si="21"/>
        <v/>
      </c>
      <c r="K94" s="26" t="str">
        <f t="shared" si="22"/>
        <v/>
      </c>
      <c r="L94" s="26" t="str">
        <f t="shared" si="23"/>
        <v/>
      </c>
      <c r="M94" s="26" t="str">
        <f t="shared" si="24"/>
        <v/>
      </c>
      <c r="N94" s="25" t="str">
        <f t="shared" si="25"/>
        <v/>
      </c>
      <c r="O94" s="25" t="str">
        <f t="shared" si="26"/>
        <v/>
      </c>
      <c r="P94" s="20"/>
      <c r="W94" s="23"/>
    </row>
    <row r="95" spans="2:23" ht="20.25" customHeight="1" x14ac:dyDescent="0.25">
      <c r="B95" s="29">
        <v>21</v>
      </c>
      <c r="C95" s="28">
        <f t="shared" si="15"/>
        <v>0</v>
      </c>
      <c r="D95" s="27"/>
      <c r="E95" s="26" t="str">
        <f t="shared" ref="E95:H99" si="27">IF(OR(E28=0,E28=""),"",(K28/E28))</f>
        <v/>
      </c>
      <c r="F95" s="26" t="str">
        <f t="shared" si="27"/>
        <v/>
      </c>
      <c r="G95" s="26" t="str">
        <f t="shared" si="27"/>
        <v/>
      </c>
      <c r="H95" s="26" t="str">
        <f t="shared" si="27"/>
        <v/>
      </c>
      <c r="I95" s="26" t="str">
        <f>IF(OR(I28=0,I28=""),"",(P28/I28))</f>
        <v/>
      </c>
      <c r="J95" s="26" t="str">
        <f>IF(OR(J28=0,J28=""),"",(#REF!/J28))</f>
        <v/>
      </c>
      <c r="K95" s="26" t="str">
        <f t="shared" si="22"/>
        <v/>
      </c>
      <c r="L95" s="26" t="str">
        <f t="shared" si="23"/>
        <v/>
      </c>
      <c r="M95" s="26" t="str">
        <f t="shared" si="24"/>
        <v/>
      </c>
      <c r="N95" s="25" t="str">
        <f t="shared" si="25"/>
        <v/>
      </c>
      <c r="O95" s="25" t="str">
        <f t="shared" si="26"/>
        <v/>
      </c>
      <c r="P95" s="20"/>
      <c r="W95" s="23"/>
    </row>
    <row r="96" spans="2:23" ht="20.25" customHeight="1" x14ac:dyDescent="0.25">
      <c r="B96" s="29">
        <v>22</v>
      </c>
      <c r="C96" s="28">
        <f t="shared" si="15"/>
        <v>0</v>
      </c>
      <c r="D96" s="27"/>
      <c r="E96" s="26" t="str">
        <f t="shared" si="27"/>
        <v/>
      </c>
      <c r="F96" s="26" t="str">
        <f t="shared" si="27"/>
        <v/>
      </c>
      <c r="G96" s="26" t="str">
        <f t="shared" si="27"/>
        <v/>
      </c>
      <c r="H96" s="26" t="str">
        <f t="shared" si="27"/>
        <v/>
      </c>
      <c r="I96" s="26" t="str">
        <f>IF(OR(I29=0,I29=""),"",(P29/I29))</f>
        <v/>
      </c>
      <c r="J96" s="26" t="str">
        <f>IF(OR(J29=0,J29=""),"",(#REF!/J29))</f>
        <v/>
      </c>
      <c r="K96" s="26" t="str">
        <f t="shared" si="22"/>
        <v/>
      </c>
      <c r="L96" s="26" t="str">
        <f t="shared" si="23"/>
        <v/>
      </c>
      <c r="M96" s="26" t="str">
        <f t="shared" si="24"/>
        <v/>
      </c>
      <c r="N96" s="25" t="str">
        <f t="shared" si="25"/>
        <v/>
      </c>
      <c r="O96" s="25" t="str">
        <f t="shared" si="26"/>
        <v/>
      </c>
      <c r="P96" s="20"/>
      <c r="W96" s="23"/>
    </row>
    <row r="97" spans="2:23" ht="20.25" customHeight="1" x14ac:dyDescent="0.25">
      <c r="B97" s="29">
        <v>23</v>
      </c>
      <c r="C97" s="28">
        <f t="shared" si="15"/>
        <v>0</v>
      </c>
      <c r="D97" s="27"/>
      <c r="E97" s="26" t="str">
        <f t="shared" si="27"/>
        <v/>
      </c>
      <c r="F97" s="26" t="str">
        <f t="shared" si="27"/>
        <v/>
      </c>
      <c r="G97" s="26" t="str">
        <f t="shared" si="27"/>
        <v/>
      </c>
      <c r="H97" s="26" t="str">
        <f t="shared" si="27"/>
        <v/>
      </c>
      <c r="I97" s="26" t="str">
        <f>IF(OR(I30=0,I30=""),"",(P30/I30))</f>
        <v/>
      </c>
      <c r="J97" s="26" t="str">
        <f>IF(OR(J30=0,J30=""),"",(#REF!/J30))</f>
        <v/>
      </c>
      <c r="K97" s="26" t="str">
        <f t="shared" si="22"/>
        <v/>
      </c>
      <c r="L97" s="26" t="str">
        <f t="shared" si="23"/>
        <v/>
      </c>
      <c r="M97" s="26" t="str">
        <f t="shared" si="24"/>
        <v/>
      </c>
      <c r="N97" s="25" t="str">
        <f t="shared" si="25"/>
        <v/>
      </c>
      <c r="O97" s="25" t="str">
        <f t="shared" si="26"/>
        <v/>
      </c>
      <c r="P97" s="20"/>
      <c r="W97" s="23"/>
    </row>
    <row r="98" spans="2:23" ht="20.25" customHeight="1" x14ac:dyDescent="0.25">
      <c r="B98" s="29">
        <v>24</v>
      </c>
      <c r="C98" s="28">
        <f t="shared" si="15"/>
        <v>0</v>
      </c>
      <c r="D98" s="27"/>
      <c r="E98" s="26" t="str">
        <f t="shared" si="27"/>
        <v/>
      </c>
      <c r="F98" s="26" t="str">
        <f t="shared" si="27"/>
        <v/>
      </c>
      <c r="G98" s="26" t="str">
        <f t="shared" si="27"/>
        <v/>
      </c>
      <c r="H98" s="26" t="str">
        <f t="shared" si="27"/>
        <v/>
      </c>
      <c r="I98" s="26" t="str">
        <f>IF(OR(I31=0,I31=""),"",(P31/I31))</f>
        <v/>
      </c>
      <c r="J98" s="26" t="str">
        <f>IF(OR(J31=0,J31=""),"",(#REF!/J31))</f>
        <v/>
      </c>
      <c r="K98" s="26" t="str">
        <f t="shared" si="22"/>
        <v/>
      </c>
      <c r="L98" s="26" t="str">
        <f t="shared" si="23"/>
        <v/>
      </c>
      <c r="M98" s="26" t="str">
        <f t="shared" si="24"/>
        <v/>
      </c>
      <c r="N98" s="25" t="str">
        <f t="shared" si="25"/>
        <v/>
      </c>
      <c r="O98" s="25" t="str">
        <f t="shared" si="26"/>
        <v/>
      </c>
      <c r="P98" s="20"/>
      <c r="W98" s="23"/>
    </row>
    <row r="99" spans="2:23" ht="20.25" customHeight="1" x14ac:dyDescent="0.25">
      <c r="B99" s="29">
        <v>25</v>
      </c>
      <c r="C99" s="28">
        <f t="shared" si="15"/>
        <v>0</v>
      </c>
      <c r="D99" s="27"/>
      <c r="E99" s="26" t="str">
        <f t="shared" si="27"/>
        <v/>
      </c>
      <c r="F99" s="26" t="str">
        <f t="shared" si="27"/>
        <v/>
      </c>
      <c r="G99" s="26" t="str">
        <f t="shared" si="27"/>
        <v/>
      </c>
      <c r="H99" s="26" t="str">
        <f t="shared" si="27"/>
        <v/>
      </c>
      <c r="I99" s="26" t="str">
        <f>IF(OR(I32=0,I32=""),"",(P32/I32))</f>
        <v/>
      </c>
      <c r="J99" s="26" t="str">
        <f>IF(OR(J32=0,J32=""),"",(#REF!/J32))</f>
        <v/>
      </c>
      <c r="K99" s="26" t="str">
        <f t="shared" si="22"/>
        <v/>
      </c>
      <c r="L99" s="26" t="str">
        <f t="shared" si="23"/>
        <v/>
      </c>
      <c r="M99" s="26" t="str">
        <f t="shared" si="24"/>
        <v/>
      </c>
      <c r="N99" s="25" t="str">
        <f t="shared" si="25"/>
        <v/>
      </c>
      <c r="O99" s="25" t="str">
        <f t="shared" si="26"/>
        <v/>
      </c>
      <c r="P99" s="20"/>
      <c r="W99" s="23"/>
    </row>
    <row r="100" spans="2:23" ht="20.25" customHeight="1" x14ac:dyDescent="0.25">
      <c r="B100" s="24"/>
      <c r="C100" s="18"/>
      <c r="D100" s="18"/>
      <c r="W100" s="23"/>
    </row>
    <row r="101" spans="2:23" ht="15.5" x14ac:dyDescent="0.35">
      <c r="B101" s="188" t="s">
        <v>48</v>
      </c>
      <c r="C101" s="189"/>
      <c r="D101" s="189"/>
      <c r="R101" s="22"/>
      <c r="S101" s="22"/>
      <c r="T101" s="22"/>
      <c r="U101" s="22"/>
      <c r="V101" s="22"/>
      <c r="W101" s="21"/>
    </row>
    <row r="102" spans="2:23" ht="13" x14ac:dyDescent="0.25">
      <c r="P102" s="20"/>
    </row>
    <row r="103" spans="2:23" s="19" customFormat="1" ht="15.65" customHeight="1" x14ac:dyDescent="0.3">
      <c r="B103" s="181" t="s">
        <v>47</v>
      </c>
      <c r="C103" s="181"/>
      <c r="D103" s="181"/>
      <c r="E103" s="181"/>
      <c r="F103" s="181"/>
      <c r="G103" s="181"/>
      <c r="H103" s="181"/>
      <c r="I103" s="181"/>
      <c r="J103" s="181"/>
      <c r="P103" s="20"/>
    </row>
    <row r="104" spans="2:23" s="19" customFormat="1" ht="14.5" customHeight="1" x14ac:dyDescent="0.3">
      <c r="B104" s="181"/>
      <c r="C104" s="181"/>
      <c r="D104" s="181"/>
      <c r="E104" s="181"/>
      <c r="F104" s="181"/>
      <c r="G104" s="181"/>
      <c r="H104" s="181"/>
      <c r="I104" s="181"/>
      <c r="J104" s="181"/>
      <c r="P104" s="20"/>
    </row>
    <row r="105" spans="2:23" ht="15.5" x14ac:dyDescent="0.25">
      <c r="B105" s="17"/>
      <c r="C105" s="17"/>
      <c r="D105" s="17"/>
      <c r="E105" s="17"/>
      <c r="F105" s="17"/>
      <c r="G105" s="17"/>
      <c r="H105" s="17"/>
      <c r="I105" s="17"/>
      <c r="J105" s="17"/>
    </row>
    <row r="106" spans="2:23" ht="17.149999999999999" customHeight="1" x14ac:dyDescent="0.25">
      <c r="B106" s="182" t="s">
        <v>46</v>
      </c>
      <c r="C106" s="182"/>
      <c r="D106" s="182"/>
      <c r="E106" s="182"/>
      <c r="F106" s="182"/>
      <c r="G106" s="182"/>
      <c r="H106" s="182"/>
      <c r="I106" s="17"/>
      <c r="J106" s="17"/>
    </row>
    <row r="107" spans="2:23" ht="15.5" x14ac:dyDescent="0.25">
      <c r="B107" s="17"/>
      <c r="C107" s="17"/>
      <c r="D107" s="17"/>
      <c r="E107" s="17"/>
      <c r="F107" s="17"/>
      <c r="G107" s="17"/>
      <c r="H107" s="17"/>
      <c r="I107" s="17"/>
      <c r="J107" s="17"/>
    </row>
  </sheetData>
  <mergeCells count="24">
    <mergeCell ref="O4:P4"/>
    <mergeCell ref="B2:C2"/>
    <mergeCell ref="D2:F2"/>
    <mergeCell ref="B3:C3"/>
    <mergeCell ref="D3:F3"/>
    <mergeCell ref="I4:J4"/>
    <mergeCell ref="K72:O72"/>
    <mergeCell ref="B101:D101"/>
    <mergeCell ref="B5:B6"/>
    <mergeCell ref="C5:C6"/>
    <mergeCell ref="D5:D6"/>
    <mergeCell ref="E5:J5"/>
    <mergeCell ref="K5:P5"/>
    <mergeCell ref="B37:B38"/>
    <mergeCell ref="C37:C38"/>
    <mergeCell ref="D37:D38"/>
    <mergeCell ref="E37:I37"/>
    <mergeCell ref="J37:P37"/>
    <mergeCell ref="B103:J104"/>
    <mergeCell ref="B106:H106"/>
    <mergeCell ref="B72:B73"/>
    <mergeCell ref="C72:C73"/>
    <mergeCell ref="D72:D73"/>
    <mergeCell ref="E72:J72"/>
  </mergeCells>
  <printOptions horizontalCentered="1" verticalCentered="1"/>
  <pageMargins left="0.16" right="0.17" top="0.35" bottom="0.4" header="0" footer="0"/>
  <pageSetup scale="38" firstPageNumber="0" orientation="landscape" r:id="rId1"/>
  <headerFooter alignWithMargins="0">
    <oddHeader>&amp;L&amp;F&amp;C&amp;D&amp;R&amp;A</oddHeader>
    <oddFooter>&amp;L&amp;Z&amp;R&amp;14&amp;P</oddFooter>
  </headerFooter>
  <rowBreaks count="1" manualBreakCount="1">
    <brk id="34" min="1" max="16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E33FC-170C-447C-B2F8-E7A60CC70633}">
  <sheetPr>
    <pageSetUpPr fitToPage="1"/>
  </sheetPr>
  <dimension ref="A2:R101"/>
  <sheetViews>
    <sheetView zoomScale="63" zoomScaleNormal="100" workbookViewId="0">
      <selection activeCell="A100" sqref="A100:G101"/>
    </sheetView>
  </sheetViews>
  <sheetFormatPr defaultColWidth="9.1796875" defaultRowHeight="11.5" x14ac:dyDescent="0.25"/>
  <cols>
    <col min="1" max="1" width="9.1796875" style="6"/>
    <col min="2" max="2" width="9.54296875" style="6" bestFit="1" customWidth="1"/>
    <col min="3" max="3" width="40.08984375" style="6" customWidth="1"/>
    <col min="4" max="4" width="9.26953125" style="6" bestFit="1" customWidth="1"/>
    <col min="5" max="8" width="17.36328125" style="6" bestFit="1" customWidth="1"/>
    <col min="9" max="9" width="26.90625" style="6" customWidth="1"/>
    <col min="10" max="10" width="22" style="6" customWidth="1"/>
    <col min="11" max="11" width="21.54296875" style="6" customWidth="1"/>
    <col min="12" max="12" width="21.453125" style="6" customWidth="1"/>
    <col min="13" max="13" width="16.54296875" style="6" bestFit="1" customWidth="1"/>
    <col min="14" max="14" width="15.90625" style="6" bestFit="1" customWidth="1"/>
    <col min="15" max="15" width="21.1796875" style="6" bestFit="1" customWidth="1"/>
    <col min="16" max="16" width="21.08984375" style="6" customWidth="1"/>
    <col min="17" max="17" width="21.36328125" style="6" customWidth="1"/>
    <col min="18" max="18" width="15.26953125" style="6" bestFit="1" customWidth="1"/>
    <col min="19" max="19" width="15.26953125" style="6" customWidth="1"/>
    <col min="20" max="16384" width="9.1796875" style="6"/>
  </cols>
  <sheetData>
    <row r="2" spans="3:11" x14ac:dyDescent="0.25">
      <c r="C2" s="6" t="s">
        <v>35</v>
      </c>
    </row>
    <row r="3" spans="3:11" x14ac:dyDescent="0.25">
      <c r="C3" s="56" t="s">
        <v>43</v>
      </c>
      <c r="E3" s="12" t="s">
        <v>44</v>
      </c>
      <c r="F3" s="13"/>
      <c r="G3" s="13"/>
      <c r="H3" s="13"/>
      <c r="I3" s="14" t="s">
        <v>86</v>
      </c>
      <c r="J3" s="10"/>
      <c r="K3" s="10"/>
    </row>
    <row r="4" spans="3:11" ht="13" x14ac:dyDescent="0.25">
      <c r="E4" s="15">
        <v>2021</v>
      </c>
      <c r="F4" s="15">
        <v>2022</v>
      </c>
      <c r="G4" s="15">
        <v>2023</v>
      </c>
      <c r="H4" s="15">
        <v>2024</v>
      </c>
      <c r="I4" s="52">
        <v>1</v>
      </c>
      <c r="J4" s="52">
        <v>2</v>
      </c>
      <c r="K4" s="52">
        <v>3</v>
      </c>
    </row>
    <row r="5" spans="3:11" ht="15.5" x14ac:dyDescent="0.35">
      <c r="C5" s="125" t="s">
        <v>81</v>
      </c>
      <c r="D5" s="125" t="s">
        <v>74</v>
      </c>
      <c r="E5" s="126">
        <f>+E20+E22</f>
        <v>1037979.0771199999</v>
      </c>
      <c r="F5" s="126">
        <f>+F20+F22</f>
        <v>1059637.7494399999</v>
      </c>
      <c r="G5" s="126">
        <f>+G20+G22</f>
        <v>1118817.84234</v>
      </c>
      <c r="H5" s="126">
        <f>+H20+H22</f>
        <v>1122957.5800600001</v>
      </c>
      <c r="I5" s="127">
        <f>+H5*(1+I7)</f>
        <v>1156646.3074618001</v>
      </c>
      <c r="J5" s="127">
        <f>+I5*(1+J7)</f>
        <v>1191345.6966856541</v>
      </c>
      <c r="K5" s="127">
        <f>+J5*(1+K7)</f>
        <v>1227086.0675862238</v>
      </c>
    </row>
    <row r="6" spans="3:11" ht="15.5" x14ac:dyDescent="0.35">
      <c r="C6" s="125" t="s">
        <v>79</v>
      </c>
      <c r="D6" s="125" t="s">
        <v>2</v>
      </c>
      <c r="E6" s="128">
        <f>+E22/(+E22+E20)</f>
        <v>0.92483470840618864</v>
      </c>
      <c r="F6" s="128">
        <f>+F22/(+F22+F20)</f>
        <v>0.90760337478374842</v>
      </c>
      <c r="G6" s="128">
        <f>+G22/(+G22+G20)</f>
        <v>0.91099849758229046</v>
      </c>
      <c r="H6" s="128">
        <f>+H22/(+H22+H20)</f>
        <v>0.91820109303230135</v>
      </c>
      <c r="I6" s="127">
        <f>+I5*H6</f>
        <v>1062033.9037632002</v>
      </c>
      <c r="J6" s="125"/>
      <c r="K6" s="125"/>
    </row>
    <row r="7" spans="3:11" ht="15.5" x14ac:dyDescent="0.35">
      <c r="C7" s="125" t="s">
        <v>82</v>
      </c>
      <c r="D7" s="125" t="s">
        <v>2</v>
      </c>
      <c r="E7" s="125"/>
      <c r="F7" s="129">
        <f>(+F5-E5)/E5</f>
        <v>2.0866193546111404E-2</v>
      </c>
      <c r="G7" s="129">
        <f>(+G5-F5)/F5</f>
        <v>5.5849362606490469E-2</v>
      </c>
      <c r="H7" s="129">
        <f>(+H5-G5)/G5</f>
        <v>3.7000998405083158E-3</v>
      </c>
      <c r="I7" s="130">
        <v>0.03</v>
      </c>
      <c r="J7" s="130">
        <v>0.03</v>
      </c>
      <c r="K7" s="130">
        <v>0.03</v>
      </c>
    </row>
    <row r="8" spans="3:11" ht="15.5" x14ac:dyDescent="0.35">
      <c r="C8" s="131" t="s">
        <v>83</v>
      </c>
      <c r="D8" s="125" t="s">
        <v>2</v>
      </c>
      <c r="E8" s="125"/>
      <c r="F8" s="129">
        <f>+(+F22-E22)/E22</f>
        <v>1.8456206751182229E-3</v>
      </c>
      <c r="G8" s="129">
        <f t="shared" ref="G8:H8" si="0">+(+G22-F22)/F22</f>
        <v>5.979903747814401E-2</v>
      </c>
      <c r="H8" s="129">
        <f t="shared" si="0"/>
        <v>1.1635618715097546E-2</v>
      </c>
      <c r="I8" s="130">
        <v>0.03</v>
      </c>
      <c r="J8" s="130">
        <v>0.03</v>
      </c>
      <c r="K8" s="130">
        <v>0.03</v>
      </c>
    </row>
    <row r="9" spans="3:11" ht="15.5" x14ac:dyDescent="0.35">
      <c r="C9" s="125" t="s">
        <v>84</v>
      </c>
      <c r="D9" s="125" t="s">
        <v>2</v>
      </c>
      <c r="E9" s="125"/>
      <c r="F9" s="129">
        <f>+(F20-E20)/E20</f>
        <v>0.25489556523968088</v>
      </c>
      <c r="G9" s="129">
        <f t="shared" ref="G9:H9" si="1">+(G20-F20)/F20</f>
        <v>1.7052077159955676E-2</v>
      </c>
      <c r="H9" s="129">
        <f t="shared" si="1"/>
        <v>-7.7526009561079981E-2</v>
      </c>
      <c r="I9" s="130">
        <v>0.03</v>
      </c>
      <c r="J9" s="130">
        <v>0.03</v>
      </c>
      <c r="K9" s="130">
        <v>0.03</v>
      </c>
    </row>
    <row r="10" spans="3:11" ht="15.5" x14ac:dyDescent="0.35">
      <c r="C10" s="125" t="s">
        <v>114</v>
      </c>
      <c r="D10" s="125"/>
      <c r="E10" s="125"/>
      <c r="F10" s="129"/>
      <c r="G10" s="129"/>
      <c r="H10" s="129"/>
      <c r="I10" s="132">
        <v>0</v>
      </c>
      <c r="J10" s="132">
        <v>0</v>
      </c>
      <c r="K10" s="132">
        <v>0</v>
      </c>
    </row>
    <row r="11" spans="3:11" ht="15.5" x14ac:dyDescent="0.35">
      <c r="C11" s="125" t="s">
        <v>116</v>
      </c>
      <c r="D11" s="125"/>
      <c r="E11" s="125"/>
      <c r="F11" s="129"/>
      <c r="G11" s="129"/>
      <c r="H11" s="129"/>
      <c r="I11" s="132">
        <v>0</v>
      </c>
      <c r="J11" s="132">
        <v>0</v>
      </c>
      <c r="K11" s="132">
        <v>0</v>
      </c>
    </row>
    <row r="12" spans="3:11" ht="15.5" x14ac:dyDescent="0.35">
      <c r="C12" s="125" t="s">
        <v>115</v>
      </c>
      <c r="D12" s="125"/>
      <c r="E12" s="125"/>
      <c r="F12" s="129"/>
      <c r="G12" s="129"/>
      <c r="H12" s="129"/>
      <c r="I12" s="130">
        <v>-0.12</v>
      </c>
      <c r="J12" s="132">
        <v>0</v>
      </c>
      <c r="K12" s="132">
        <v>0</v>
      </c>
    </row>
    <row r="13" spans="3:11" ht="15.5" x14ac:dyDescent="0.35">
      <c r="C13" s="125" t="s">
        <v>117</v>
      </c>
      <c r="D13" s="125"/>
      <c r="E13" s="125"/>
      <c r="F13" s="129"/>
      <c r="G13" s="129"/>
      <c r="H13" s="129"/>
      <c r="I13" s="132">
        <v>0</v>
      </c>
      <c r="J13" s="132">
        <v>0</v>
      </c>
      <c r="K13" s="132">
        <v>0</v>
      </c>
    </row>
    <row r="14" spans="3:11" x14ac:dyDescent="0.25">
      <c r="C14" s="53" t="s">
        <v>80</v>
      </c>
      <c r="D14" s="53"/>
      <c r="E14" s="53"/>
      <c r="F14" s="54"/>
      <c r="G14" s="54"/>
      <c r="H14" s="54"/>
      <c r="I14" s="55"/>
      <c r="J14" s="55"/>
      <c r="K14" s="55"/>
    </row>
    <row r="17" spans="1:18" x14ac:dyDescent="0.25">
      <c r="C17" s="56" t="s">
        <v>100</v>
      </c>
      <c r="D17" s="6" t="s">
        <v>101</v>
      </c>
    </row>
    <row r="18" spans="1:18" ht="26.25" customHeight="1" x14ac:dyDescent="0.3">
      <c r="I18" s="67" t="s">
        <v>39</v>
      </c>
      <c r="J18" s="10"/>
      <c r="K18" s="10"/>
    </row>
    <row r="19" spans="1:18" ht="49.5" customHeight="1" x14ac:dyDescent="0.25">
      <c r="A19" s="7" t="s">
        <v>36</v>
      </c>
      <c r="B19" s="8" t="s">
        <v>34</v>
      </c>
      <c r="C19" s="8" t="s">
        <v>33</v>
      </c>
      <c r="D19" s="8" t="s">
        <v>0</v>
      </c>
      <c r="E19" s="8">
        <v>2021</v>
      </c>
      <c r="F19" s="8">
        <v>2022</v>
      </c>
      <c r="G19" s="8">
        <v>2023</v>
      </c>
      <c r="H19" s="8">
        <v>2024</v>
      </c>
      <c r="I19" s="11" t="s">
        <v>40</v>
      </c>
      <c r="J19" s="11" t="s">
        <v>41</v>
      </c>
      <c r="K19" s="11" t="s">
        <v>42</v>
      </c>
    </row>
    <row r="20" spans="1:18" ht="30.75" customHeight="1" x14ac:dyDescent="0.35">
      <c r="A20" s="125" t="s">
        <v>45</v>
      </c>
      <c r="B20" s="101" t="str">
        <f>+'Anexo 1'!B7</f>
        <v>A</v>
      </c>
      <c r="C20" s="101" t="s">
        <v>85</v>
      </c>
      <c r="D20" s="101" t="s">
        <v>74</v>
      </c>
      <c r="E20" s="138">
        <f>+'Anexo 1'!E7</f>
        <v>78020</v>
      </c>
      <c r="F20" s="138">
        <f>+'Anexo 1'!F7</f>
        <v>97906.951999999903</v>
      </c>
      <c r="G20" s="138">
        <f>+'Anexo 1'!G7</f>
        <v>99576.468899999978</v>
      </c>
      <c r="H20" s="138">
        <f>+'Anexo 1'!H7</f>
        <v>91856.702619999996</v>
      </c>
      <c r="I20" s="139">
        <f>+H20*(1+I9)</f>
        <v>94612.403698599999</v>
      </c>
      <c r="J20" s="139">
        <f t="shared" ref="J20:K20" si="2">+I20*(1+J9)</f>
        <v>97450.775809558007</v>
      </c>
      <c r="K20" s="139">
        <f t="shared" si="2"/>
        <v>100374.29908384474</v>
      </c>
    </row>
    <row r="21" spans="1:18" ht="27.75" customHeight="1" x14ac:dyDescent="0.35">
      <c r="A21" s="125" t="s">
        <v>45</v>
      </c>
      <c r="B21" s="101">
        <f>+'Anexo 1'!B12</f>
        <v>5</v>
      </c>
      <c r="C21" s="140" t="s">
        <v>146</v>
      </c>
      <c r="D21" s="101" t="s">
        <v>74</v>
      </c>
      <c r="E21" s="138">
        <f>+'Anexo 1'!E12</f>
        <v>4.2199999999999998E-3</v>
      </c>
      <c r="F21" s="138">
        <f>+'Anexo 1'!F12</f>
        <v>0</v>
      </c>
      <c r="G21" s="138">
        <f>+'Anexo 1'!G12</f>
        <v>7654.8280000000004</v>
      </c>
      <c r="H21" s="138">
        <f>+'Anexo 1'!H12</f>
        <v>6904.9804299999996</v>
      </c>
      <c r="I21" s="139">
        <v>73885.411999999909</v>
      </c>
      <c r="J21" s="139">
        <v>43595.808999999994</v>
      </c>
      <c r="K21" s="139">
        <v>53835.879000000001</v>
      </c>
    </row>
    <row r="22" spans="1:18" ht="39" customHeight="1" x14ac:dyDescent="0.35">
      <c r="A22" s="125" t="s">
        <v>37</v>
      </c>
      <c r="B22" s="141">
        <v>5</v>
      </c>
      <c r="C22" s="131" t="s">
        <v>32</v>
      </c>
      <c r="D22" s="141" t="s">
        <v>31</v>
      </c>
      <c r="E22" s="142">
        <v>959959.07711999991</v>
      </c>
      <c r="F22" s="142">
        <v>961730.79743999999</v>
      </c>
      <c r="G22" s="142">
        <v>1019241.3734399999</v>
      </c>
      <c r="H22" s="142">
        <v>1031100.8774400001</v>
      </c>
      <c r="I22" s="143">
        <v>1062033.9037631999</v>
      </c>
      <c r="J22" s="143">
        <v>1093894.920876096</v>
      </c>
      <c r="K22" s="143">
        <v>1126711.7685023788</v>
      </c>
      <c r="L22" s="6" t="s">
        <v>178</v>
      </c>
      <c r="Q22" s="178"/>
      <c r="R22" s="178"/>
    </row>
    <row r="23" spans="1:18" ht="39" customHeight="1" x14ac:dyDescent="0.35">
      <c r="A23" s="125" t="s">
        <v>37</v>
      </c>
      <c r="B23" s="141">
        <v>13</v>
      </c>
      <c r="C23" s="131" t="s">
        <v>30</v>
      </c>
      <c r="D23" s="141" t="s">
        <v>28</v>
      </c>
      <c r="E23" s="144">
        <v>348</v>
      </c>
      <c r="F23" s="144">
        <v>361</v>
      </c>
      <c r="G23" s="144">
        <v>425</v>
      </c>
      <c r="H23" s="144">
        <v>445</v>
      </c>
      <c r="I23" s="145"/>
      <c r="J23" s="145"/>
      <c r="K23" s="145"/>
    </row>
    <row r="24" spans="1:18" ht="39" customHeight="1" x14ac:dyDescent="0.35">
      <c r="A24" s="125" t="s">
        <v>37</v>
      </c>
      <c r="B24" s="141">
        <v>14</v>
      </c>
      <c r="C24" s="131" t="s">
        <v>29</v>
      </c>
      <c r="D24" s="141" t="s">
        <v>28</v>
      </c>
      <c r="E24" s="144">
        <v>747</v>
      </c>
      <c r="F24" s="144">
        <v>777</v>
      </c>
      <c r="G24" s="144">
        <v>863</v>
      </c>
      <c r="H24" s="144">
        <v>917</v>
      </c>
      <c r="I24" s="145"/>
      <c r="J24" s="145"/>
      <c r="K24" s="145"/>
    </row>
    <row r="25" spans="1:18" ht="39" customHeight="1" x14ac:dyDescent="0.35">
      <c r="A25" s="125" t="s">
        <v>37</v>
      </c>
      <c r="B25" s="141">
        <v>19</v>
      </c>
      <c r="C25" s="131" t="s">
        <v>27</v>
      </c>
      <c r="D25" s="141" t="s">
        <v>1</v>
      </c>
      <c r="E25" s="144">
        <v>47213445784.407104</v>
      </c>
      <c r="F25" s="144">
        <v>58135491786.131165</v>
      </c>
      <c r="G25" s="144">
        <v>55798005986.96328</v>
      </c>
      <c r="H25" s="144">
        <v>54040969202.826225</v>
      </c>
      <c r="I25" s="146">
        <v>55662198278.911011</v>
      </c>
      <c r="J25" s="146">
        <v>57332064227.278343</v>
      </c>
      <c r="K25" s="146">
        <v>59052026154.096695</v>
      </c>
      <c r="L25" s="6" t="s">
        <v>178</v>
      </c>
    </row>
    <row r="26" spans="1:18" ht="39" customHeight="1" x14ac:dyDescent="0.35">
      <c r="A26" s="125" t="s">
        <v>37</v>
      </c>
      <c r="B26" s="141">
        <v>27</v>
      </c>
      <c r="C26" s="131" t="s">
        <v>26</v>
      </c>
      <c r="D26" s="141" t="s">
        <v>1</v>
      </c>
      <c r="E26" s="144">
        <v>908880666.82560003</v>
      </c>
      <c r="F26" s="144">
        <v>915092536.01279998</v>
      </c>
      <c r="G26" s="144">
        <v>974854601.13600016</v>
      </c>
      <c r="H26" s="144">
        <v>1143416965.516798</v>
      </c>
      <c r="I26" s="145"/>
      <c r="J26" s="145"/>
      <c r="K26" s="145"/>
      <c r="L26" s="6" t="s">
        <v>178</v>
      </c>
    </row>
    <row r="28" spans="1:18" x14ac:dyDescent="0.25">
      <c r="B28" s="103"/>
      <c r="C28" s="103"/>
      <c r="D28" s="103"/>
      <c r="E28" s="103"/>
      <c r="F28" s="103"/>
      <c r="G28" s="103"/>
      <c r="H28" s="103"/>
      <c r="I28" s="104" t="s">
        <v>131</v>
      </c>
      <c r="J28" s="103"/>
      <c r="K28" s="103"/>
    </row>
    <row r="29" spans="1:18" ht="15.5" x14ac:dyDescent="0.25">
      <c r="A29" s="7" t="s">
        <v>36</v>
      </c>
      <c r="B29" s="1" t="s">
        <v>3</v>
      </c>
      <c r="C29" s="1" t="s">
        <v>4</v>
      </c>
      <c r="D29" s="1" t="s">
        <v>0</v>
      </c>
      <c r="E29" s="1">
        <v>2021</v>
      </c>
      <c r="F29" s="1">
        <v>2022</v>
      </c>
      <c r="G29" s="1">
        <v>2023</v>
      </c>
      <c r="H29" s="1">
        <v>2024</v>
      </c>
      <c r="I29" s="90" t="s">
        <v>102</v>
      </c>
      <c r="J29" s="90" t="s">
        <v>98</v>
      </c>
      <c r="K29" s="90" t="s">
        <v>99</v>
      </c>
    </row>
    <row r="30" spans="1:18" ht="14" x14ac:dyDescent="0.3">
      <c r="A30" s="123"/>
      <c r="B30" s="133"/>
      <c r="C30" s="133" t="s">
        <v>129</v>
      </c>
      <c r="D30" s="133"/>
      <c r="E30" s="133"/>
      <c r="F30" s="133"/>
      <c r="G30" s="133"/>
      <c r="H30" s="133"/>
      <c r="I30" s="147">
        <v>55662198278.911011</v>
      </c>
      <c r="J30" s="147">
        <v>57332064227.278343</v>
      </c>
      <c r="K30" s="147">
        <v>59052026154.096703</v>
      </c>
      <c r="L30" s="136"/>
      <c r="M30" s="136"/>
      <c r="N30" s="136"/>
      <c r="O30" s="179"/>
      <c r="P30" s="179"/>
      <c r="Q30" s="179"/>
      <c r="R30" s="180"/>
    </row>
    <row r="31" spans="1:18" ht="14" x14ac:dyDescent="0.3">
      <c r="A31" s="123"/>
      <c r="B31" s="133"/>
      <c r="C31" s="133" t="s">
        <v>128</v>
      </c>
      <c r="D31" s="133"/>
      <c r="E31" s="133"/>
      <c r="F31" s="133"/>
      <c r="G31" s="133"/>
      <c r="H31" s="148"/>
      <c r="I31" s="149">
        <v>8837600009.5526485</v>
      </c>
      <c r="J31" s="149">
        <v>9102728009.8392296</v>
      </c>
      <c r="K31" s="149">
        <v>9375809850.134407</v>
      </c>
      <c r="L31" s="136"/>
      <c r="M31" s="136"/>
      <c r="N31" s="136"/>
      <c r="O31" s="179"/>
      <c r="P31" s="179"/>
      <c r="Q31" s="179"/>
      <c r="R31" s="180"/>
    </row>
    <row r="32" spans="1:18" ht="14" x14ac:dyDescent="0.3">
      <c r="A32" s="123" t="s">
        <v>38</v>
      </c>
      <c r="B32" s="134"/>
      <c r="C32" s="150" t="s">
        <v>5</v>
      </c>
      <c r="D32" s="151"/>
      <c r="E32" s="152"/>
      <c r="F32" s="152"/>
      <c r="G32" s="152"/>
      <c r="H32" s="136"/>
      <c r="I32" s="147">
        <v>0</v>
      </c>
      <c r="J32" s="147">
        <v>0</v>
      </c>
      <c r="K32" s="147">
        <v>0</v>
      </c>
      <c r="L32" s="136"/>
      <c r="M32" s="136"/>
      <c r="N32" s="136"/>
      <c r="O32" s="179"/>
      <c r="P32" s="179"/>
      <c r="Q32" s="179"/>
      <c r="R32" s="180"/>
    </row>
    <row r="33" spans="1:18" ht="14.5" x14ac:dyDescent="0.3">
      <c r="A33" s="123" t="s">
        <v>38</v>
      </c>
      <c r="B33" s="134" t="s">
        <v>6</v>
      </c>
      <c r="C33" s="151" t="s">
        <v>159</v>
      </c>
      <c r="D33" s="134" t="s">
        <v>1</v>
      </c>
      <c r="E33" s="153"/>
      <c r="F33" s="153"/>
      <c r="G33" s="153"/>
      <c r="H33" s="153"/>
      <c r="I33" s="137">
        <v>64499798288.463661</v>
      </c>
      <c r="J33" s="137">
        <v>66434792237.117577</v>
      </c>
      <c r="K33" s="137">
        <v>68427836004.23111</v>
      </c>
      <c r="L33" s="154">
        <v>-1878634901.6057372</v>
      </c>
      <c r="M33" s="136"/>
      <c r="N33" s="136"/>
      <c r="O33" s="179"/>
      <c r="P33" s="179"/>
      <c r="Q33" s="179"/>
      <c r="R33" s="180"/>
    </row>
    <row r="34" spans="1:18" ht="14.5" x14ac:dyDescent="0.3">
      <c r="A34" s="123" t="s">
        <v>38</v>
      </c>
      <c r="B34" s="134" t="s">
        <v>7</v>
      </c>
      <c r="C34" s="151" t="s">
        <v>160</v>
      </c>
      <c r="D34" s="134" t="s">
        <v>1</v>
      </c>
      <c r="E34" s="153"/>
      <c r="F34" s="153"/>
      <c r="G34" s="153"/>
      <c r="H34" s="153"/>
      <c r="I34" s="137">
        <v>54388258436.113617</v>
      </c>
      <c r="J34" s="137">
        <v>56019906189.197029</v>
      </c>
      <c r="K34" s="137">
        <v>57700503374.87294</v>
      </c>
      <c r="L34" s="136"/>
      <c r="M34" s="136"/>
      <c r="N34" s="136"/>
      <c r="O34" s="179"/>
      <c r="P34" s="179"/>
      <c r="Q34" s="179"/>
      <c r="R34" s="180"/>
    </row>
    <row r="35" spans="1:18" ht="14.5" x14ac:dyDescent="0.3">
      <c r="A35" s="123" t="s">
        <v>38</v>
      </c>
      <c r="B35" s="134" t="s">
        <v>8</v>
      </c>
      <c r="C35" s="151" t="s">
        <v>161</v>
      </c>
      <c r="D35" s="134" t="s">
        <v>1</v>
      </c>
      <c r="E35" s="153"/>
      <c r="F35" s="153"/>
      <c r="G35" s="153"/>
      <c r="H35" s="153"/>
      <c r="I35" s="155">
        <v>10111539852.350046</v>
      </c>
      <c r="J35" s="155">
        <v>10414886047.920549</v>
      </c>
      <c r="K35" s="155">
        <v>10727332629.358168</v>
      </c>
      <c r="L35" s="136"/>
      <c r="M35" s="136"/>
      <c r="N35" s="136"/>
      <c r="O35" s="179"/>
      <c r="P35" s="179"/>
      <c r="Q35" s="179"/>
      <c r="R35" s="180"/>
    </row>
    <row r="36" spans="1:18" ht="14.5" x14ac:dyDescent="0.3">
      <c r="A36" s="123" t="s">
        <v>38</v>
      </c>
      <c r="B36" s="134" t="s">
        <v>9</v>
      </c>
      <c r="C36" s="151" t="s">
        <v>162</v>
      </c>
      <c r="D36" s="134" t="s">
        <v>1</v>
      </c>
      <c r="E36" s="153"/>
      <c r="F36" s="153"/>
      <c r="G36" s="153"/>
      <c r="H36" s="153"/>
      <c r="I36" s="155">
        <v>1204024092.305948</v>
      </c>
      <c r="J36" s="155">
        <v>1204024092.305948</v>
      </c>
      <c r="K36" s="155">
        <v>1204024092.305948</v>
      </c>
      <c r="L36" s="136"/>
      <c r="M36" s="136"/>
      <c r="N36" s="136"/>
      <c r="O36" s="179"/>
      <c r="P36" s="179"/>
      <c r="Q36" s="179"/>
      <c r="R36" s="180"/>
    </row>
    <row r="37" spans="1:18" ht="28.5" x14ac:dyDescent="0.3">
      <c r="A37" s="123" t="s">
        <v>38</v>
      </c>
      <c r="B37" s="134" t="s">
        <v>10</v>
      </c>
      <c r="C37" s="151" t="s">
        <v>163</v>
      </c>
      <c r="D37" s="134" t="s">
        <v>1</v>
      </c>
      <c r="E37" s="153"/>
      <c r="F37" s="153"/>
      <c r="G37" s="153"/>
      <c r="H37" s="153"/>
      <c r="I37" s="155">
        <v>342833585.60639977</v>
      </c>
      <c r="J37" s="155">
        <v>342833585.60639977</v>
      </c>
      <c r="K37" s="155">
        <v>342833585.60639977</v>
      </c>
      <c r="L37" s="136"/>
      <c r="M37" s="136"/>
      <c r="N37" s="136"/>
      <c r="O37" s="179"/>
      <c r="P37" s="179"/>
      <c r="Q37" s="179"/>
      <c r="R37" s="180"/>
    </row>
    <row r="38" spans="1:18" ht="14.5" x14ac:dyDescent="0.3">
      <c r="A38" s="123" t="s">
        <v>38</v>
      </c>
      <c r="B38" s="134" t="s">
        <v>11</v>
      </c>
      <c r="C38" s="151" t="s">
        <v>164</v>
      </c>
      <c r="D38" s="134" t="s">
        <v>1</v>
      </c>
      <c r="E38" s="153"/>
      <c r="F38" s="153"/>
      <c r="G38" s="153"/>
      <c r="H38" s="153"/>
      <c r="I38" s="155">
        <v>8907515760.0440979</v>
      </c>
      <c r="J38" s="155">
        <v>9210861955.6146011</v>
      </c>
      <c r="K38" s="155">
        <v>9523308537.0522213</v>
      </c>
      <c r="L38" s="136"/>
      <c r="M38" s="136"/>
      <c r="N38" s="136"/>
      <c r="O38" s="179"/>
      <c r="P38" s="179"/>
      <c r="Q38" s="179"/>
      <c r="R38" s="180"/>
    </row>
    <row r="39" spans="1:18" ht="14.5" x14ac:dyDescent="0.3">
      <c r="A39" s="123" t="s">
        <v>38</v>
      </c>
      <c r="B39" s="134" t="s">
        <v>12</v>
      </c>
      <c r="C39" s="151" t="s">
        <v>165</v>
      </c>
      <c r="D39" s="134" t="s">
        <v>1</v>
      </c>
      <c r="E39" s="153"/>
      <c r="F39" s="153"/>
      <c r="G39" s="153"/>
      <c r="H39" s="153"/>
      <c r="I39" s="155"/>
      <c r="J39" s="136"/>
      <c r="K39" s="136"/>
      <c r="L39" s="136"/>
      <c r="M39" s="136"/>
      <c r="N39" s="136"/>
      <c r="O39" s="136"/>
    </row>
    <row r="40" spans="1:18" ht="14.5" x14ac:dyDescent="0.3">
      <c r="A40" s="123" t="s">
        <v>38</v>
      </c>
      <c r="B40" s="134" t="s">
        <v>13</v>
      </c>
      <c r="C40" s="151" t="s">
        <v>166</v>
      </c>
      <c r="D40" s="134" t="s">
        <v>1</v>
      </c>
      <c r="E40" s="153"/>
      <c r="F40" s="153"/>
      <c r="G40" s="153"/>
      <c r="H40" s="153"/>
      <c r="I40" s="136"/>
      <c r="J40" s="136"/>
      <c r="K40" s="136"/>
      <c r="L40" s="136"/>
      <c r="M40" s="136"/>
      <c r="N40" s="136"/>
      <c r="O40" s="136"/>
    </row>
    <row r="41" spans="1:18" ht="14.5" x14ac:dyDescent="0.3">
      <c r="A41" s="123" t="s">
        <v>38</v>
      </c>
      <c r="B41" s="134" t="s">
        <v>14</v>
      </c>
      <c r="C41" s="151" t="s">
        <v>167</v>
      </c>
      <c r="D41" s="134" t="s">
        <v>1</v>
      </c>
      <c r="E41" s="153"/>
      <c r="F41" s="153"/>
      <c r="G41" s="153"/>
      <c r="H41" s="153"/>
      <c r="I41" s="136"/>
      <c r="J41" s="136"/>
      <c r="K41" s="136"/>
      <c r="L41" s="136"/>
      <c r="M41" s="136"/>
      <c r="N41" s="136"/>
      <c r="O41" s="136"/>
    </row>
    <row r="42" spans="1:18" ht="14" x14ac:dyDescent="0.3">
      <c r="A42" s="123" t="s">
        <v>38</v>
      </c>
      <c r="B42" s="134"/>
      <c r="C42" s="151"/>
      <c r="D42" s="134"/>
      <c r="E42" s="153"/>
      <c r="F42" s="153"/>
      <c r="G42" s="153"/>
      <c r="H42" s="153"/>
      <c r="I42" s="136"/>
      <c r="J42" s="136"/>
      <c r="K42" s="136"/>
      <c r="L42" s="136"/>
      <c r="M42" s="136"/>
      <c r="N42" s="136"/>
      <c r="O42" s="136"/>
    </row>
    <row r="43" spans="1:18" ht="14" x14ac:dyDescent="0.3">
      <c r="A43" s="123" t="s">
        <v>38</v>
      </c>
      <c r="B43" s="134"/>
      <c r="C43" s="150" t="s">
        <v>15</v>
      </c>
      <c r="D43" s="134"/>
      <c r="E43" s="153"/>
      <c r="F43" s="153"/>
      <c r="G43" s="153"/>
      <c r="H43" s="153"/>
      <c r="I43" s="136"/>
      <c r="J43" s="136"/>
      <c r="K43" s="136"/>
      <c r="L43" s="136"/>
      <c r="M43" s="136"/>
      <c r="N43" s="136"/>
      <c r="O43" s="136"/>
    </row>
    <row r="44" spans="1:18" ht="14.5" x14ac:dyDescent="0.3">
      <c r="A44" s="123" t="s">
        <v>38</v>
      </c>
      <c r="B44" s="134">
        <v>10</v>
      </c>
      <c r="C44" s="151" t="s">
        <v>168</v>
      </c>
      <c r="D44" s="134" t="s">
        <v>1</v>
      </c>
      <c r="E44" s="153"/>
      <c r="F44" s="153"/>
      <c r="G44" s="153"/>
      <c r="H44" s="153"/>
      <c r="I44" s="136"/>
      <c r="J44" s="136"/>
      <c r="K44" s="136"/>
      <c r="L44" s="136"/>
      <c r="M44" s="136"/>
      <c r="N44" s="136"/>
      <c r="O44" s="136"/>
    </row>
    <row r="45" spans="1:18" ht="14.5" x14ac:dyDescent="0.3">
      <c r="A45" s="123" t="s">
        <v>38</v>
      </c>
      <c r="B45" s="134">
        <v>11</v>
      </c>
      <c r="C45" s="151" t="s">
        <v>169</v>
      </c>
      <c r="D45" s="134" t="s">
        <v>1</v>
      </c>
      <c r="E45" s="153"/>
      <c r="F45" s="153"/>
      <c r="G45" s="153"/>
      <c r="H45" s="153"/>
      <c r="I45" s="136"/>
      <c r="J45" s="136"/>
      <c r="K45" s="136"/>
      <c r="L45" s="136"/>
      <c r="M45" s="136"/>
      <c r="N45" s="136"/>
      <c r="O45" s="136"/>
    </row>
    <row r="46" spans="1:18" ht="14.5" x14ac:dyDescent="0.3">
      <c r="A46" s="123" t="s">
        <v>38</v>
      </c>
      <c r="B46" s="134">
        <v>12</v>
      </c>
      <c r="C46" s="151" t="s">
        <v>170</v>
      </c>
      <c r="D46" s="134" t="s">
        <v>1</v>
      </c>
      <c r="E46" s="153"/>
      <c r="F46" s="153"/>
      <c r="G46" s="153"/>
      <c r="H46" s="153"/>
      <c r="I46" s="136"/>
      <c r="J46" s="136"/>
      <c r="K46" s="136"/>
      <c r="L46" s="136"/>
      <c r="M46" s="136"/>
      <c r="N46" s="136"/>
      <c r="O46" s="136"/>
    </row>
    <row r="47" spans="1:18" ht="14.5" x14ac:dyDescent="0.3">
      <c r="A47" s="123" t="s">
        <v>38</v>
      </c>
      <c r="B47" s="134">
        <v>13</v>
      </c>
      <c r="C47" s="151" t="s">
        <v>171</v>
      </c>
      <c r="D47" s="134" t="s">
        <v>1</v>
      </c>
      <c r="E47" s="153"/>
      <c r="F47" s="153"/>
      <c r="G47" s="153"/>
      <c r="H47" s="153"/>
      <c r="I47" s="136"/>
      <c r="J47" s="136"/>
      <c r="K47" s="136"/>
      <c r="L47" s="136"/>
      <c r="M47" s="136"/>
      <c r="N47" s="136"/>
      <c r="O47" s="136"/>
    </row>
    <row r="48" spans="1:18" ht="14.5" x14ac:dyDescent="0.3">
      <c r="A48" s="123" t="s">
        <v>38</v>
      </c>
      <c r="B48" s="134">
        <v>14</v>
      </c>
      <c r="C48" s="151" t="s">
        <v>172</v>
      </c>
      <c r="D48" s="134" t="s">
        <v>1</v>
      </c>
      <c r="E48" s="153"/>
      <c r="F48" s="153"/>
      <c r="G48" s="153"/>
      <c r="H48" s="153"/>
      <c r="I48" s="136"/>
      <c r="J48" s="136"/>
      <c r="K48" s="136"/>
      <c r="L48" s="136"/>
      <c r="M48" s="136"/>
      <c r="N48" s="136"/>
      <c r="O48" s="136"/>
    </row>
    <row r="49" spans="1:18" ht="14.5" x14ac:dyDescent="0.3">
      <c r="A49" s="123" t="s">
        <v>38</v>
      </c>
      <c r="B49" s="134">
        <v>15</v>
      </c>
      <c r="C49" s="151" t="s">
        <v>173</v>
      </c>
      <c r="D49" s="134" t="s">
        <v>1</v>
      </c>
      <c r="E49" s="153"/>
      <c r="F49" s="153"/>
      <c r="G49" s="153"/>
      <c r="H49" s="153"/>
      <c r="I49" s="136"/>
      <c r="J49" s="136"/>
      <c r="K49" s="136"/>
      <c r="L49" s="136"/>
      <c r="M49" s="136"/>
      <c r="N49" s="136"/>
      <c r="O49" s="136"/>
    </row>
    <row r="50" spans="1:18" ht="14" x14ac:dyDescent="0.3">
      <c r="A50" s="123" t="s">
        <v>38</v>
      </c>
      <c r="B50" s="134"/>
      <c r="C50" s="151"/>
      <c r="D50" s="134"/>
      <c r="E50" s="156"/>
      <c r="F50" s="156"/>
      <c r="G50" s="156"/>
      <c r="H50" s="157"/>
      <c r="I50" s="136"/>
      <c r="J50" s="136"/>
      <c r="K50" s="136"/>
      <c r="L50" s="136"/>
      <c r="M50" s="136"/>
      <c r="N50" s="136"/>
      <c r="O50" s="136"/>
    </row>
    <row r="51" spans="1:18" ht="14" x14ac:dyDescent="0.3">
      <c r="A51" s="123" t="s">
        <v>38</v>
      </c>
      <c r="B51" s="134"/>
      <c r="C51" s="150" t="s">
        <v>16</v>
      </c>
      <c r="D51" s="134"/>
      <c r="E51" s="157"/>
      <c r="F51" s="157"/>
      <c r="G51" s="157"/>
      <c r="H51" s="157"/>
      <c r="I51" s="136"/>
      <c r="J51" s="136"/>
      <c r="K51" s="136"/>
      <c r="L51" s="136"/>
      <c r="M51" s="136"/>
      <c r="N51" s="136"/>
      <c r="O51" s="136"/>
    </row>
    <row r="52" spans="1:18" ht="14" x14ac:dyDescent="0.3">
      <c r="A52" s="123" t="s">
        <v>38</v>
      </c>
      <c r="B52" s="158">
        <v>16</v>
      </c>
      <c r="C52" s="159" t="s">
        <v>17</v>
      </c>
      <c r="D52" s="158" t="s">
        <v>2</v>
      </c>
      <c r="E52" s="160" t="str">
        <f t="shared" ref="E52:H52" si="3">IF(ISERROR(E41/E33)*100,"ND",E41/E33*100)</f>
        <v>ND</v>
      </c>
      <c r="F52" s="160" t="str">
        <f t="shared" si="3"/>
        <v>ND</v>
      </c>
      <c r="G52" s="160" t="str">
        <f t="shared" si="3"/>
        <v>ND</v>
      </c>
      <c r="H52" s="160" t="str">
        <f t="shared" si="3"/>
        <v>ND</v>
      </c>
      <c r="I52" s="136"/>
      <c r="J52" s="136"/>
      <c r="K52" s="136"/>
      <c r="L52" s="136"/>
      <c r="M52" s="136"/>
      <c r="N52" s="136"/>
      <c r="O52" s="136"/>
    </row>
    <row r="53" spans="1:18" ht="14" x14ac:dyDescent="0.3">
      <c r="A53" s="123" t="s">
        <v>38</v>
      </c>
      <c r="B53" s="158">
        <v>17</v>
      </c>
      <c r="C53" s="159" t="s">
        <v>18</v>
      </c>
      <c r="D53" s="158" t="s">
        <v>19</v>
      </c>
      <c r="E53" s="160">
        <f t="shared" ref="E53:H53" si="4">IF(ISERROR(E37+E39-E40),"ND",E37+E39-E40)</f>
        <v>0</v>
      </c>
      <c r="F53" s="160">
        <f t="shared" si="4"/>
        <v>0</v>
      </c>
      <c r="G53" s="160">
        <f t="shared" si="4"/>
        <v>0</v>
      </c>
      <c r="H53" s="160">
        <f t="shared" si="4"/>
        <v>0</v>
      </c>
      <c r="I53" s="136"/>
      <c r="J53" s="136"/>
      <c r="K53" s="136"/>
      <c r="L53" s="136"/>
      <c r="M53" s="136"/>
      <c r="N53" s="136"/>
      <c r="O53" s="136"/>
    </row>
    <row r="54" spans="1:18" ht="14" x14ac:dyDescent="0.3">
      <c r="A54" s="123" t="s">
        <v>38</v>
      </c>
      <c r="B54" s="158">
        <v>18</v>
      </c>
      <c r="C54" s="159" t="s">
        <v>20</v>
      </c>
      <c r="D54" s="158" t="s">
        <v>2</v>
      </c>
      <c r="E54" s="161" t="str">
        <f t="shared" ref="E54:H54" si="5">IF(ISERROR(E38/E44)*100,"ND",(E38/E44)*100)</f>
        <v>ND</v>
      </c>
      <c r="F54" s="161" t="str">
        <f t="shared" si="5"/>
        <v>ND</v>
      </c>
      <c r="G54" s="161" t="str">
        <f t="shared" si="5"/>
        <v>ND</v>
      </c>
      <c r="H54" s="161" t="str">
        <f t="shared" si="5"/>
        <v>ND</v>
      </c>
      <c r="I54" s="136"/>
      <c r="J54" s="136"/>
      <c r="K54" s="136"/>
      <c r="L54" s="136"/>
      <c r="M54" s="136"/>
      <c r="N54" s="136"/>
      <c r="O54" s="136"/>
    </row>
    <row r="55" spans="1:18" ht="14" x14ac:dyDescent="0.3">
      <c r="A55" s="123" t="s">
        <v>38</v>
      </c>
      <c r="B55" s="158">
        <v>19</v>
      </c>
      <c r="C55" s="159" t="s">
        <v>21</v>
      </c>
      <c r="D55" s="159"/>
      <c r="E55" s="160"/>
      <c r="F55" s="160"/>
      <c r="G55" s="160"/>
      <c r="H55" s="160"/>
      <c r="I55" s="136"/>
      <c r="J55" s="136"/>
      <c r="K55" s="136"/>
      <c r="L55" s="136"/>
      <c r="M55" s="136"/>
      <c r="N55" s="136"/>
      <c r="O55" s="136"/>
    </row>
    <row r="56" spans="1:18" ht="14.5" x14ac:dyDescent="0.3">
      <c r="A56" s="123" t="s">
        <v>38</v>
      </c>
      <c r="B56" s="158">
        <v>20</v>
      </c>
      <c r="C56" s="162" t="s">
        <v>22</v>
      </c>
      <c r="D56" s="159"/>
      <c r="E56" s="160" t="str">
        <f t="shared" ref="E56:H56" si="6">IF(ISERROR(E46/E47),"ND",E46/E47)</f>
        <v>ND</v>
      </c>
      <c r="F56" s="160" t="str">
        <f t="shared" si="6"/>
        <v>ND</v>
      </c>
      <c r="G56" s="160" t="str">
        <f t="shared" si="6"/>
        <v>ND</v>
      </c>
      <c r="H56" s="160" t="str">
        <f t="shared" si="6"/>
        <v>ND</v>
      </c>
      <c r="I56" s="136"/>
      <c r="J56" s="136"/>
      <c r="K56" s="136"/>
      <c r="L56" s="136"/>
      <c r="M56" s="136"/>
      <c r="N56" s="136"/>
      <c r="O56" s="136"/>
    </row>
    <row r="57" spans="1:18" ht="14.5" x14ac:dyDescent="0.3">
      <c r="A57" s="123" t="s">
        <v>38</v>
      </c>
      <c r="B57" s="158">
        <v>21</v>
      </c>
      <c r="C57" s="162" t="s">
        <v>23</v>
      </c>
      <c r="D57" s="159"/>
      <c r="E57" s="160" t="str">
        <f t="shared" ref="E57:H57" si="7">IF(ISERROR((E46-E48)/E47),"ND",((E46-E48)/E47))</f>
        <v>ND</v>
      </c>
      <c r="F57" s="160" t="str">
        <f t="shared" si="7"/>
        <v>ND</v>
      </c>
      <c r="G57" s="160" t="str">
        <f t="shared" si="7"/>
        <v>ND</v>
      </c>
      <c r="H57" s="160" t="str">
        <f t="shared" si="7"/>
        <v>ND</v>
      </c>
      <c r="I57" s="136"/>
      <c r="J57" s="136"/>
      <c r="K57" s="136"/>
      <c r="L57" s="136"/>
      <c r="M57" s="136"/>
      <c r="N57" s="136"/>
      <c r="O57" s="136"/>
    </row>
    <row r="58" spans="1:18" ht="14.5" x14ac:dyDescent="0.3">
      <c r="A58" s="123" t="s">
        <v>38</v>
      </c>
      <c r="B58" s="158">
        <v>22</v>
      </c>
      <c r="C58" s="162" t="s">
        <v>24</v>
      </c>
      <c r="D58" s="159"/>
      <c r="E58" s="160" t="str">
        <f t="shared" ref="E58:H58" si="8">IF(ISERROR(E49/E45),"ND",E49/E45)</f>
        <v>ND</v>
      </c>
      <c r="F58" s="160" t="str">
        <f t="shared" si="8"/>
        <v>ND</v>
      </c>
      <c r="G58" s="160" t="str">
        <f t="shared" si="8"/>
        <v>ND</v>
      </c>
      <c r="H58" s="160" t="str">
        <f t="shared" si="8"/>
        <v>ND</v>
      </c>
      <c r="I58" s="136"/>
      <c r="J58" s="136"/>
      <c r="K58" s="136"/>
      <c r="L58" s="136"/>
      <c r="M58" s="136"/>
      <c r="N58" s="136"/>
      <c r="O58" s="136"/>
    </row>
    <row r="59" spans="1:18" ht="14.5" x14ac:dyDescent="0.3">
      <c r="A59" s="123" t="s">
        <v>38</v>
      </c>
      <c r="B59" s="158">
        <v>23</v>
      </c>
      <c r="C59" s="162" t="s">
        <v>25</v>
      </c>
      <c r="D59" s="159"/>
      <c r="E59" s="160" t="str">
        <f t="shared" ref="E59:H59" si="9">IF(ISERROR(E49/E44),"ND",E49/E44)</f>
        <v>ND</v>
      </c>
      <c r="F59" s="160" t="str">
        <f t="shared" si="9"/>
        <v>ND</v>
      </c>
      <c r="G59" s="160" t="str">
        <f t="shared" si="9"/>
        <v>ND</v>
      </c>
      <c r="H59" s="160" t="str">
        <f t="shared" si="9"/>
        <v>ND</v>
      </c>
      <c r="I59" s="136"/>
      <c r="J59" s="136"/>
      <c r="K59" s="136"/>
      <c r="L59" s="136"/>
      <c r="M59" s="136"/>
      <c r="N59" s="136"/>
      <c r="O59" s="136"/>
    </row>
    <row r="60" spans="1:18" ht="14" x14ac:dyDescent="0.3">
      <c r="A60" s="136"/>
      <c r="B60" s="136"/>
      <c r="C60" s="163" t="s">
        <v>118</v>
      </c>
      <c r="D60" s="163"/>
      <c r="E60" s="164" t="e">
        <f>+E38/E33</f>
        <v>#DIV/0!</v>
      </c>
      <c r="F60" s="164" t="e">
        <f t="shared" ref="F60:K60" si="10">+F38/F33</f>
        <v>#DIV/0!</v>
      </c>
      <c r="G60" s="164" t="e">
        <f t="shared" si="10"/>
        <v>#DIV/0!</v>
      </c>
      <c r="H60" s="164" t="e">
        <f t="shared" si="10"/>
        <v>#DIV/0!</v>
      </c>
      <c r="I60" s="164">
        <f t="shared" si="10"/>
        <v>0.13810145142170596</v>
      </c>
      <c r="J60" s="164">
        <f t="shared" si="10"/>
        <v>0.13864515332176247</v>
      </c>
      <c r="K60" s="164">
        <f t="shared" si="10"/>
        <v>0.13917301924414743</v>
      </c>
      <c r="L60" s="136"/>
      <c r="M60" s="136"/>
      <c r="N60" s="136"/>
      <c r="O60" s="136"/>
    </row>
    <row r="61" spans="1:18" ht="14" x14ac:dyDescent="0.3">
      <c r="A61" s="136"/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</row>
    <row r="62" spans="1:18" ht="14" x14ac:dyDescent="0.3">
      <c r="A62" s="136"/>
      <c r="B62" s="165"/>
      <c r="C62" s="165"/>
      <c r="D62" s="165"/>
      <c r="E62" s="165"/>
      <c r="F62" s="165"/>
      <c r="G62" s="165"/>
      <c r="H62" s="165"/>
      <c r="I62" s="166" t="s">
        <v>130</v>
      </c>
      <c r="J62" s="165"/>
      <c r="K62" s="165"/>
      <c r="L62" s="136"/>
      <c r="M62" s="136"/>
      <c r="N62" s="136"/>
      <c r="O62" s="136"/>
    </row>
    <row r="63" spans="1:18" ht="14" x14ac:dyDescent="0.3">
      <c r="A63" s="167" t="s">
        <v>36</v>
      </c>
      <c r="B63" s="2" t="s">
        <v>3</v>
      </c>
      <c r="C63" s="2" t="s">
        <v>4</v>
      </c>
      <c r="D63" s="2" t="s">
        <v>0</v>
      </c>
      <c r="E63" s="2">
        <v>2021</v>
      </c>
      <c r="F63" s="2">
        <v>2022</v>
      </c>
      <c r="G63" s="2">
        <v>2023</v>
      </c>
      <c r="H63" s="2">
        <v>2024</v>
      </c>
      <c r="I63" s="163" t="s">
        <v>102</v>
      </c>
      <c r="J63" s="163" t="s">
        <v>98</v>
      </c>
      <c r="K63" s="163" t="s">
        <v>99</v>
      </c>
      <c r="L63" s="136"/>
      <c r="M63" s="136"/>
      <c r="N63" s="136"/>
      <c r="O63" s="136"/>
    </row>
    <row r="64" spans="1:18" ht="14" x14ac:dyDescent="0.3">
      <c r="A64" s="123"/>
      <c r="B64" s="133"/>
      <c r="C64" s="124" t="s">
        <v>136</v>
      </c>
      <c r="D64" s="133"/>
      <c r="E64" s="133"/>
      <c r="F64" s="133"/>
      <c r="G64" s="133"/>
      <c r="H64" s="135"/>
      <c r="I64" s="147">
        <v>55662198278.911011</v>
      </c>
      <c r="J64" s="147">
        <v>57332064227.278343</v>
      </c>
      <c r="K64" s="147">
        <v>59052026154.096695</v>
      </c>
      <c r="L64" s="168"/>
      <c r="M64" s="137"/>
      <c r="N64" s="136"/>
      <c r="O64" s="179"/>
      <c r="P64" s="179"/>
      <c r="Q64" s="179"/>
      <c r="R64" s="180"/>
    </row>
    <row r="65" spans="1:18" ht="14" x14ac:dyDescent="0.3">
      <c r="A65" s="123"/>
      <c r="B65" s="133"/>
      <c r="C65" s="124" t="s">
        <v>137</v>
      </c>
      <c r="D65" s="133"/>
      <c r="E65" s="133"/>
      <c r="F65" s="133"/>
      <c r="G65" s="133"/>
      <c r="H65" s="135"/>
      <c r="I65" s="169">
        <v>48982734485.441689</v>
      </c>
      <c r="J65" s="169">
        <v>50452216520.004936</v>
      </c>
      <c r="K65" s="169">
        <v>51965783015.605087</v>
      </c>
      <c r="L65" s="155">
        <v>5058234717.3845358</v>
      </c>
      <c r="M65" s="136"/>
      <c r="N65" s="136"/>
      <c r="O65" s="179"/>
      <c r="P65" s="179"/>
      <c r="Q65" s="179"/>
      <c r="R65" s="180"/>
    </row>
    <row r="66" spans="1:18" ht="14" x14ac:dyDescent="0.3">
      <c r="A66" s="123"/>
      <c r="B66" s="133"/>
      <c r="C66" s="124" t="s">
        <v>128</v>
      </c>
      <c r="D66" s="133"/>
      <c r="E66" s="133"/>
      <c r="F66" s="133"/>
      <c r="G66" s="133"/>
      <c r="H66" s="148"/>
      <c r="I66" s="170">
        <v>8837600009.5526485</v>
      </c>
      <c r="J66" s="170">
        <v>9102728009.8392296</v>
      </c>
      <c r="K66" s="170">
        <v>9375809850.134407</v>
      </c>
      <c r="L66" s="136"/>
      <c r="M66" s="136"/>
      <c r="N66" s="136"/>
      <c r="O66" s="179"/>
      <c r="P66" s="179"/>
      <c r="Q66" s="179"/>
      <c r="R66" s="180"/>
    </row>
    <row r="67" spans="1:18" ht="14" x14ac:dyDescent="0.3">
      <c r="A67" s="123"/>
      <c r="B67" s="133"/>
      <c r="C67" s="124"/>
      <c r="D67" s="133"/>
      <c r="E67" s="133"/>
      <c r="F67" s="133"/>
      <c r="G67" s="133"/>
      <c r="H67" s="171"/>
      <c r="I67" s="149">
        <v>0</v>
      </c>
      <c r="J67" s="149">
        <v>0</v>
      </c>
      <c r="K67" s="149">
        <v>0</v>
      </c>
      <c r="L67" s="136">
        <v>0</v>
      </c>
      <c r="M67" s="136"/>
      <c r="N67" s="136"/>
      <c r="O67" s="179"/>
      <c r="P67" s="179"/>
      <c r="Q67" s="179"/>
      <c r="R67" s="180"/>
    </row>
    <row r="68" spans="1:18" ht="14" x14ac:dyDescent="0.3">
      <c r="A68" s="123"/>
      <c r="B68" s="133"/>
      <c r="C68" s="150" t="s">
        <v>5</v>
      </c>
      <c r="D68" s="133"/>
      <c r="E68" s="133"/>
      <c r="F68" s="133"/>
      <c r="G68" s="133"/>
      <c r="H68" s="171"/>
      <c r="I68" s="149">
        <v>0</v>
      </c>
      <c r="J68" s="149">
        <v>0</v>
      </c>
      <c r="K68" s="149">
        <v>0</v>
      </c>
      <c r="L68" s="136"/>
      <c r="M68" s="136"/>
      <c r="N68" s="136"/>
      <c r="O68" s="179"/>
      <c r="P68" s="179"/>
      <c r="Q68" s="179"/>
      <c r="R68" s="180"/>
    </row>
    <row r="69" spans="1:18" ht="14" x14ac:dyDescent="0.3">
      <c r="A69" s="123" t="s">
        <v>38</v>
      </c>
      <c r="B69" s="134"/>
      <c r="C69" s="136"/>
      <c r="D69" s="151"/>
      <c r="E69" s="152"/>
      <c r="F69" s="152"/>
      <c r="G69" s="152"/>
      <c r="H69" s="136"/>
      <c r="I69" s="169">
        <v>0</v>
      </c>
      <c r="J69" s="169">
        <v>0</v>
      </c>
      <c r="K69" s="169">
        <v>0</v>
      </c>
      <c r="L69" s="154"/>
      <c r="M69" s="147"/>
      <c r="N69" s="136"/>
      <c r="O69" s="179"/>
      <c r="P69" s="179"/>
      <c r="Q69" s="179"/>
      <c r="R69" s="180"/>
    </row>
    <row r="70" spans="1:18" ht="14.5" x14ac:dyDescent="0.3">
      <c r="A70" s="123" t="s">
        <v>38</v>
      </c>
      <c r="B70" s="134" t="s">
        <v>6</v>
      </c>
      <c r="C70" s="151" t="s">
        <v>159</v>
      </c>
      <c r="D70" s="134" t="s">
        <v>1</v>
      </c>
      <c r="E70" s="153"/>
      <c r="F70" s="153"/>
      <c r="G70" s="153"/>
      <c r="H70" s="153"/>
      <c r="I70" s="137">
        <v>57820334494.994339</v>
      </c>
      <c r="J70" s="137">
        <v>59554944529.844162</v>
      </c>
      <c r="K70" s="137">
        <v>61341592865.739487</v>
      </c>
      <c r="L70" s="154"/>
      <c r="M70" s="136"/>
      <c r="N70" s="136"/>
      <c r="O70" s="179"/>
      <c r="P70" s="179"/>
      <c r="Q70" s="179"/>
      <c r="R70" s="180"/>
    </row>
    <row r="71" spans="1:18" ht="14.5" x14ac:dyDescent="0.3">
      <c r="A71" s="123" t="s">
        <v>38</v>
      </c>
      <c r="B71" s="134" t="s">
        <v>7</v>
      </c>
      <c r="C71" s="151" t="s">
        <v>160</v>
      </c>
      <c r="D71" s="134" t="s">
        <v>1</v>
      </c>
      <c r="E71" s="153"/>
      <c r="F71" s="153"/>
      <c r="G71" s="153"/>
      <c r="H71" s="153"/>
      <c r="I71" s="137">
        <v>54388258436.113617</v>
      </c>
      <c r="J71" s="137">
        <v>56019906189.197029</v>
      </c>
      <c r="K71" s="137">
        <v>57700503374.87294</v>
      </c>
      <c r="L71" s="136"/>
      <c r="M71" s="136"/>
      <c r="N71" s="136"/>
      <c r="O71" s="179"/>
      <c r="P71" s="179"/>
      <c r="Q71" s="179"/>
      <c r="R71" s="180"/>
    </row>
    <row r="72" spans="1:18" ht="14.5" x14ac:dyDescent="0.3">
      <c r="A72" s="123" t="s">
        <v>38</v>
      </c>
      <c r="B72" s="134" t="s">
        <v>8</v>
      </c>
      <c r="C72" s="151" t="s">
        <v>161</v>
      </c>
      <c r="D72" s="134" t="s">
        <v>1</v>
      </c>
      <c r="E72" s="153"/>
      <c r="F72" s="153"/>
      <c r="G72" s="153"/>
      <c r="H72" s="153"/>
      <c r="I72" s="155">
        <v>3432076058.8807249</v>
      </c>
      <c r="J72" s="155">
        <v>3535038340.6471362</v>
      </c>
      <c r="K72" s="155">
        <v>3641089490.8665528</v>
      </c>
      <c r="L72" s="136"/>
      <c r="M72" s="136"/>
      <c r="N72" s="136"/>
      <c r="O72" s="179"/>
      <c r="P72" s="179"/>
      <c r="Q72" s="179"/>
      <c r="R72" s="180"/>
    </row>
    <row r="73" spans="1:18" ht="14.5" x14ac:dyDescent="0.3">
      <c r="A73" s="123" t="s">
        <v>38</v>
      </c>
      <c r="B73" s="134" t="s">
        <v>9</v>
      </c>
      <c r="C73" s="151" t="s">
        <v>162</v>
      </c>
      <c r="D73" s="134" t="s">
        <v>1</v>
      </c>
      <c r="E73" s="153"/>
      <c r="F73" s="153"/>
      <c r="G73" s="153"/>
      <c r="H73" s="153"/>
      <c r="I73" s="155"/>
      <c r="J73" s="155"/>
      <c r="K73" s="155"/>
      <c r="L73" s="136"/>
      <c r="M73" s="136"/>
      <c r="N73" s="136"/>
      <c r="O73" s="136"/>
    </row>
    <row r="74" spans="1:18" ht="28.5" x14ac:dyDescent="0.3">
      <c r="A74" s="123" t="s">
        <v>38</v>
      </c>
      <c r="B74" s="134" t="s">
        <v>10</v>
      </c>
      <c r="C74" s="151" t="s">
        <v>163</v>
      </c>
      <c r="D74" s="134" t="s">
        <v>1</v>
      </c>
      <c r="E74" s="153"/>
      <c r="F74" s="153"/>
      <c r="G74" s="153"/>
      <c r="H74" s="153"/>
      <c r="I74" s="155"/>
      <c r="J74" s="155"/>
      <c r="K74" s="155"/>
      <c r="L74" s="136"/>
      <c r="M74" s="136"/>
      <c r="N74" s="136"/>
      <c r="O74" s="136"/>
    </row>
    <row r="75" spans="1:18" ht="14.5" x14ac:dyDescent="0.3">
      <c r="A75" s="123" t="s">
        <v>38</v>
      </c>
      <c r="B75" s="134" t="s">
        <v>11</v>
      </c>
      <c r="C75" s="151" t="s">
        <v>164</v>
      </c>
      <c r="D75" s="134" t="s">
        <v>1</v>
      </c>
      <c r="E75" s="153"/>
      <c r="F75" s="153"/>
      <c r="G75" s="153"/>
      <c r="H75" s="172"/>
      <c r="I75" s="155">
        <v>6384952923.9834013</v>
      </c>
      <c r="J75" s="155"/>
      <c r="K75" s="155"/>
      <c r="L75" s="155"/>
      <c r="M75" s="136"/>
      <c r="N75" s="136"/>
      <c r="O75" s="136"/>
    </row>
    <row r="76" spans="1:18" ht="14.5" x14ac:dyDescent="0.3">
      <c r="A76" s="123" t="s">
        <v>38</v>
      </c>
      <c r="B76" s="134" t="s">
        <v>12</v>
      </c>
      <c r="C76" s="151" t="s">
        <v>165</v>
      </c>
      <c r="D76" s="134" t="s">
        <v>1</v>
      </c>
      <c r="E76" s="153"/>
      <c r="F76" s="153"/>
      <c r="G76" s="153"/>
      <c r="H76" s="153"/>
      <c r="I76" s="155"/>
      <c r="J76" s="136"/>
      <c r="K76" s="136"/>
      <c r="L76" s="173">
        <v>0.89063710212060465</v>
      </c>
      <c r="M76" s="173">
        <v>1.0299486858032008</v>
      </c>
      <c r="N76" s="173">
        <v>0.86354476754006904</v>
      </c>
      <c r="O76" s="173">
        <v>0.54479103458114242</v>
      </c>
      <c r="P76" s="89"/>
      <c r="Q76" s="89"/>
      <c r="R76" s="89"/>
    </row>
    <row r="77" spans="1:18" ht="14.5" x14ac:dyDescent="0.3">
      <c r="A77" s="123" t="s">
        <v>38</v>
      </c>
      <c r="B77" s="134" t="s">
        <v>13</v>
      </c>
      <c r="C77" s="151" t="s">
        <v>166</v>
      </c>
      <c r="D77" s="134" t="s">
        <v>1</v>
      </c>
      <c r="E77" s="153"/>
      <c r="F77" s="153"/>
      <c r="G77" s="153"/>
      <c r="H77" s="153"/>
      <c r="I77" s="136"/>
      <c r="J77" s="136"/>
      <c r="K77" s="136"/>
      <c r="L77" s="136"/>
      <c r="M77" s="136"/>
      <c r="N77" s="136"/>
      <c r="O77" s="136"/>
    </row>
    <row r="78" spans="1:18" ht="14.5" x14ac:dyDescent="0.3">
      <c r="A78" s="123" t="s">
        <v>38</v>
      </c>
      <c r="B78" s="134" t="s">
        <v>14</v>
      </c>
      <c r="C78" s="151" t="s">
        <v>167</v>
      </c>
      <c r="D78" s="134" t="s">
        <v>1</v>
      </c>
      <c r="E78" s="153"/>
      <c r="F78" s="153"/>
      <c r="G78" s="153"/>
      <c r="H78" s="153"/>
      <c r="I78" s="136"/>
      <c r="J78" s="136"/>
      <c r="K78" s="136"/>
      <c r="L78" s="136"/>
      <c r="M78" s="136"/>
      <c r="N78" s="136"/>
      <c r="O78" s="136"/>
    </row>
    <row r="79" spans="1:18" ht="14" x14ac:dyDescent="0.3">
      <c r="A79" s="123" t="s">
        <v>38</v>
      </c>
      <c r="B79" s="134"/>
      <c r="C79" s="151"/>
      <c r="D79" s="134"/>
      <c r="E79" s="153"/>
      <c r="F79" s="153"/>
      <c r="G79" s="153"/>
      <c r="H79" s="153"/>
      <c r="I79" s="136"/>
      <c r="J79" s="136"/>
      <c r="K79" s="136"/>
      <c r="L79" s="136"/>
      <c r="M79" s="136"/>
      <c r="N79" s="136"/>
      <c r="O79" s="136"/>
    </row>
    <row r="80" spans="1:18" ht="14" x14ac:dyDescent="0.3">
      <c r="A80" s="123" t="s">
        <v>38</v>
      </c>
      <c r="B80" s="134"/>
      <c r="C80" s="150" t="s">
        <v>15</v>
      </c>
      <c r="D80" s="134"/>
      <c r="E80" s="153"/>
      <c r="F80" s="153"/>
      <c r="G80" s="153"/>
      <c r="H80" s="153"/>
      <c r="I80" s="136"/>
      <c r="J80" s="136"/>
      <c r="K80" s="136"/>
      <c r="L80" s="136"/>
      <c r="M80" s="136"/>
      <c r="N80" s="136"/>
      <c r="O80" s="136"/>
    </row>
    <row r="81" spans="1:15" ht="14.5" x14ac:dyDescent="0.3">
      <c r="A81" s="123" t="s">
        <v>38</v>
      </c>
      <c r="B81" s="134">
        <v>10</v>
      </c>
      <c r="C81" s="151" t="s">
        <v>168</v>
      </c>
      <c r="D81" s="134" t="s">
        <v>1</v>
      </c>
      <c r="E81" s="153"/>
      <c r="F81" s="153"/>
      <c r="G81" s="153"/>
      <c r="H81" s="153"/>
      <c r="I81" s="136"/>
      <c r="J81" s="136"/>
      <c r="K81" s="136"/>
      <c r="L81" s="136"/>
      <c r="M81" s="136"/>
      <c r="N81" s="136"/>
      <c r="O81" s="136"/>
    </row>
    <row r="82" spans="1:15" ht="14.5" x14ac:dyDescent="0.3">
      <c r="A82" s="123" t="s">
        <v>38</v>
      </c>
      <c r="B82" s="134">
        <v>11</v>
      </c>
      <c r="C82" s="151" t="s">
        <v>169</v>
      </c>
      <c r="D82" s="134" t="s">
        <v>1</v>
      </c>
      <c r="E82" s="153"/>
      <c r="F82" s="153"/>
      <c r="G82" s="153"/>
      <c r="H82" s="153"/>
      <c r="I82" s="136"/>
      <c r="J82" s="136"/>
      <c r="K82" s="136"/>
      <c r="L82" s="136"/>
      <c r="M82" s="136"/>
      <c r="N82" s="136"/>
      <c r="O82" s="136"/>
    </row>
    <row r="83" spans="1:15" ht="14.5" x14ac:dyDescent="0.3">
      <c r="A83" s="123" t="s">
        <v>38</v>
      </c>
      <c r="B83" s="134">
        <v>12</v>
      </c>
      <c r="C83" s="151" t="s">
        <v>170</v>
      </c>
      <c r="D83" s="134" t="s">
        <v>1</v>
      </c>
      <c r="E83" s="153"/>
      <c r="F83" s="153"/>
      <c r="G83" s="153"/>
      <c r="H83" s="153"/>
      <c r="I83" s="136"/>
      <c r="J83" s="136"/>
      <c r="K83" s="136"/>
      <c r="L83" s="136"/>
      <c r="M83" s="136"/>
      <c r="N83" s="136"/>
      <c r="O83" s="136"/>
    </row>
    <row r="84" spans="1:15" ht="14.5" x14ac:dyDescent="0.3">
      <c r="A84" s="123" t="s">
        <v>38</v>
      </c>
      <c r="B84" s="134">
        <v>13</v>
      </c>
      <c r="C84" s="151" t="s">
        <v>171</v>
      </c>
      <c r="D84" s="134" t="s">
        <v>1</v>
      </c>
      <c r="E84" s="153"/>
      <c r="F84" s="153"/>
      <c r="G84" s="153"/>
      <c r="H84" s="153"/>
      <c r="I84" s="136"/>
      <c r="J84" s="136"/>
      <c r="K84" s="136"/>
      <c r="L84" s="136"/>
      <c r="M84" s="136"/>
      <c r="N84" s="136"/>
      <c r="O84" s="136"/>
    </row>
    <row r="85" spans="1:15" ht="14.5" x14ac:dyDescent="0.3">
      <c r="A85" s="123" t="s">
        <v>38</v>
      </c>
      <c r="B85" s="134">
        <v>14</v>
      </c>
      <c r="C85" s="151" t="s">
        <v>172</v>
      </c>
      <c r="D85" s="134" t="s">
        <v>1</v>
      </c>
      <c r="E85" s="153"/>
      <c r="F85" s="153"/>
      <c r="G85" s="153"/>
      <c r="H85" s="153"/>
      <c r="I85" s="136"/>
      <c r="J85" s="136"/>
      <c r="K85" s="136"/>
      <c r="L85" s="136"/>
      <c r="M85" s="136"/>
      <c r="N85" s="136"/>
      <c r="O85" s="136"/>
    </row>
    <row r="86" spans="1:15" ht="14.5" x14ac:dyDescent="0.3">
      <c r="A86" s="123" t="s">
        <v>38</v>
      </c>
      <c r="B86" s="134">
        <v>15</v>
      </c>
      <c r="C86" s="151" t="s">
        <v>173</v>
      </c>
      <c r="D86" s="134" t="s">
        <v>1</v>
      </c>
      <c r="E86" s="153"/>
      <c r="F86" s="153"/>
      <c r="G86" s="153"/>
      <c r="H86" s="153"/>
      <c r="I86" s="136"/>
      <c r="J86" s="136"/>
      <c r="K86" s="136"/>
      <c r="L86" s="136"/>
      <c r="M86" s="136"/>
      <c r="N86" s="136"/>
      <c r="O86" s="136"/>
    </row>
    <row r="87" spans="1:15" ht="14" x14ac:dyDescent="0.3">
      <c r="A87" s="123" t="s">
        <v>38</v>
      </c>
      <c r="B87" s="134"/>
      <c r="C87" s="151"/>
      <c r="D87" s="134"/>
      <c r="E87" s="156"/>
      <c r="F87" s="156"/>
      <c r="G87" s="156"/>
      <c r="H87" s="157"/>
      <c r="I87" s="136"/>
      <c r="J87" s="136"/>
      <c r="K87" s="136"/>
      <c r="L87" s="136"/>
      <c r="M87" s="136"/>
      <c r="N87" s="136"/>
      <c r="O87" s="136"/>
    </row>
    <row r="88" spans="1:15" ht="14" x14ac:dyDescent="0.3">
      <c r="A88" s="123" t="s">
        <v>38</v>
      </c>
      <c r="B88" s="134"/>
      <c r="C88" s="150" t="s">
        <v>16</v>
      </c>
      <c r="D88" s="134"/>
      <c r="E88" s="157"/>
      <c r="F88" s="157"/>
      <c r="G88" s="157"/>
      <c r="H88" s="157"/>
      <c r="I88" s="136"/>
      <c r="J88" s="136"/>
      <c r="K88" s="136"/>
      <c r="L88" s="136"/>
      <c r="M88" s="136"/>
      <c r="N88" s="136"/>
      <c r="O88" s="136"/>
    </row>
    <row r="89" spans="1:15" ht="14" x14ac:dyDescent="0.3">
      <c r="A89" s="123" t="s">
        <v>38</v>
      </c>
      <c r="B89" s="158">
        <v>16</v>
      </c>
      <c r="C89" s="159" t="s">
        <v>17</v>
      </c>
      <c r="D89" s="158" t="s">
        <v>2</v>
      </c>
      <c r="E89" s="160" t="str">
        <f t="shared" ref="E89:H89" si="11">IF(ISERROR(E78/E70)*100,"ND",E78/E70*100)</f>
        <v>ND</v>
      </c>
      <c r="F89" s="160" t="str">
        <f t="shared" si="11"/>
        <v>ND</v>
      </c>
      <c r="G89" s="160" t="str">
        <f t="shared" si="11"/>
        <v>ND</v>
      </c>
      <c r="H89" s="160" t="str">
        <f t="shared" si="11"/>
        <v>ND</v>
      </c>
      <c r="I89" s="136"/>
      <c r="J89" s="136"/>
      <c r="K89" s="136"/>
      <c r="L89" s="136"/>
      <c r="M89" s="136"/>
      <c r="N89" s="136"/>
      <c r="O89" s="136"/>
    </row>
    <row r="90" spans="1:15" ht="14" x14ac:dyDescent="0.3">
      <c r="A90" s="123" t="s">
        <v>38</v>
      </c>
      <c r="B90" s="158">
        <v>17</v>
      </c>
      <c r="C90" s="159" t="s">
        <v>18</v>
      </c>
      <c r="D90" s="158" t="s">
        <v>19</v>
      </c>
      <c r="E90" s="160">
        <f t="shared" ref="E90:H90" si="12">IF(ISERROR(E74+E76-E77),"ND",E74+E76-E77)</f>
        <v>0</v>
      </c>
      <c r="F90" s="160">
        <f t="shared" si="12"/>
        <v>0</v>
      </c>
      <c r="G90" s="160">
        <f t="shared" si="12"/>
        <v>0</v>
      </c>
      <c r="H90" s="160">
        <f t="shared" si="12"/>
        <v>0</v>
      </c>
      <c r="I90" s="136"/>
      <c r="J90" s="136"/>
      <c r="K90" s="136"/>
      <c r="L90" s="136"/>
      <c r="M90" s="136"/>
      <c r="N90" s="136"/>
      <c r="O90" s="136"/>
    </row>
    <row r="91" spans="1:15" ht="14" x14ac:dyDescent="0.3">
      <c r="A91" s="123" t="s">
        <v>38</v>
      </c>
      <c r="B91" s="158">
        <v>18</v>
      </c>
      <c r="C91" s="159" t="s">
        <v>20</v>
      </c>
      <c r="D91" s="158" t="s">
        <v>2</v>
      </c>
      <c r="E91" s="161" t="str">
        <f t="shared" ref="E91:H91" si="13">IF(ISERROR(E75/E81)*100,"ND",(E75/E81)*100)</f>
        <v>ND</v>
      </c>
      <c r="F91" s="161" t="str">
        <f t="shared" si="13"/>
        <v>ND</v>
      </c>
      <c r="G91" s="161" t="str">
        <f t="shared" si="13"/>
        <v>ND</v>
      </c>
      <c r="H91" s="161" t="str">
        <f t="shared" si="13"/>
        <v>ND</v>
      </c>
      <c r="I91" s="136"/>
      <c r="J91" s="136"/>
      <c r="K91" s="136"/>
      <c r="L91" s="136"/>
      <c r="M91" s="136"/>
      <c r="N91" s="136"/>
      <c r="O91" s="136"/>
    </row>
    <row r="92" spans="1:15" ht="14" x14ac:dyDescent="0.3">
      <c r="A92" s="123" t="s">
        <v>38</v>
      </c>
      <c r="B92" s="158">
        <v>19</v>
      </c>
      <c r="C92" s="159" t="s">
        <v>21</v>
      </c>
      <c r="D92" s="159"/>
      <c r="E92" s="160"/>
      <c r="F92" s="160"/>
      <c r="G92" s="160"/>
      <c r="H92" s="160"/>
      <c r="I92" s="136"/>
      <c r="J92" s="136"/>
      <c r="K92" s="136"/>
      <c r="L92" s="136"/>
      <c r="M92" s="136"/>
      <c r="N92" s="136"/>
      <c r="O92" s="136"/>
    </row>
    <row r="93" spans="1:15" ht="14.5" x14ac:dyDescent="0.3">
      <c r="A93" s="123" t="s">
        <v>38</v>
      </c>
      <c r="B93" s="158">
        <v>20</v>
      </c>
      <c r="C93" s="162" t="s">
        <v>22</v>
      </c>
      <c r="D93" s="159"/>
      <c r="E93" s="160" t="str">
        <f t="shared" ref="E93:H93" si="14">IF(ISERROR(E83/E84),"ND",E83/E84)</f>
        <v>ND</v>
      </c>
      <c r="F93" s="160" t="str">
        <f t="shared" si="14"/>
        <v>ND</v>
      </c>
      <c r="G93" s="160" t="str">
        <f t="shared" si="14"/>
        <v>ND</v>
      </c>
      <c r="H93" s="160" t="str">
        <f t="shared" si="14"/>
        <v>ND</v>
      </c>
      <c r="I93" s="136"/>
      <c r="J93" s="136"/>
      <c r="K93" s="136"/>
      <c r="L93" s="136"/>
      <c r="M93" s="136"/>
      <c r="N93" s="136"/>
      <c r="O93" s="136"/>
    </row>
    <row r="94" spans="1:15" ht="14.5" x14ac:dyDescent="0.3">
      <c r="A94" s="123" t="s">
        <v>38</v>
      </c>
      <c r="B94" s="158">
        <v>21</v>
      </c>
      <c r="C94" s="162" t="s">
        <v>23</v>
      </c>
      <c r="D94" s="159"/>
      <c r="E94" s="160" t="str">
        <f t="shared" ref="E94:H94" si="15">IF(ISERROR((E83-E85)/E84),"ND",((E83-E85)/E84))</f>
        <v>ND</v>
      </c>
      <c r="F94" s="160" t="str">
        <f t="shared" si="15"/>
        <v>ND</v>
      </c>
      <c r="G94" s="160" t="str">
        <f t="shared" si="15"/>
        <v>ND</v>
      </c>
      <c r="H94" s="160" t="str">
        <f t="shared" si="15"/>
        <v>ND</v>
      </c>
      <c r="I94" s="136"/>
      <c r="J94" s="136"/>
      <c r="K94" s="136"/>
      <c r="L94" s="136"/>
      <c r="M94" s="136"/>
      <c r="N94" s="136"/>
      <c r="O94" s="136"/>
    </row>
    <row r="95" spans="1:15" ht="14.5" x14ac:dyDescent="0.3">
      <c r="A95" s="123" t="s">
        <v>38</v>
      </c>
      <c r="B95" s="158">
        <v>22</v>
      </c>
      <c r="C95" s="162" t="s">
        <v>24</v>
      </c>
      <c r="D95" s="159"/>
      <c r="E95" s="160" t="str">
        <f t="shared" ref="E95:H95" si="16">IF(ISERROR(E86/E82),"ND",E86/E82)</f>
        <v>ND</v>
      </c>
      <c r="F95" s="160" t="str">
        <f t="shared" si="16"/>
        <v>ND</v>
      </c>
      <c r="G95" s="160" t="str">
        <f t="shared" si="16"/>
        <v>ND</v>
      </c>
      <c r="H95" s="160" t="str">
        <f t="shared" si="16"/>
        <v>ND</v>
      </c>
      <c r="I95" s="136"/>
      <c r="J95" s="136"/>
      <c r="K95" s="136"/>
      <c r="L95" s="136"/>
      <c r="M95" s="136"/>
      <c r="N95" s="136"/>
      <c r="O95" s="136"/>
    </row>
    <row r="96" spans="1:15" ht="14.5" x14ac:dyDescent="0.3">
      <c r="A96" s="123" t="s">
        <v>38</v>
      </c>
      <c r="B96" s="158">
        <v>23</v>
      </c>
      <c r="C96" s="162" t="s">
        <v>25</v>
      </c>
      <c r="D96" s="159"/>
      <c r="E96" s="160" t="str">
        <f t="shared" ref="E96:H96" si="17">IF(ISERROR(E86/E81),"ND",E86/E81)</f>
        <v>ND</v>
      </c>
      <c r="F96" s="160" t="str">
        <f t="shared" si="17"/>
        <v>ND</v>
      </c>
      <c r="G96" s="160" t="str">
        <f t="shared" si="17"/>
        <v>ND</v>
      </c>
      <c r="H96" s="160" t="str">
        <f t="shared" si="17"/>
        <v>ND</v>
      </c>
      <c r="I96" s="136"/>
      <c r="J96" s="136"/>
      <c r="K96" s="136"/>
      <c r="L96" s="136"/>
      <c r="M96" s="136"/>
      <c r="N96" s="136"/>
      <c r="O96" s="136"/>
    </row>
    <row r="100" spans="1:7" ht="117.5" customHeight="1" x14ac:dyDescent="0.25">
      <c r="A100" s="205" t="s">
        <v>175</v>
      </c>
      <c r="B100" s="205"/>
      <c r="C100" s="205"/>
      <c r="D100" s="205"/>
      <c r="E100" s="205"/>
      <c r="F100" s="205"/>
      <c r="G100" s="205"/>
    </row>
    <row r="101" spans="1:7" ht="95" customHeight="1" x14ac:dyDescent="0.25">
      <c r="A101" s="205" t="s">
        <v>176</v>
      </c>
      <c r="B101" s="205"/>
      <c r="C101" s="205"/>
      <c r="D101" s="205"/>
      <c r="E101" s="205"/>
      <c r="F101" s="205"/>
      <c r="G101" s="205"/>
    </row>
  </sheetData>
  <mergeCells count="2">
    <mergeCell ref="A100:G100"/>
    <mergeCell ref="A101:G101"/>
  </mergeCells>
  <phoneticPr fontId="13" type="noConversion"/>
  <pageMargins left="0.25" right="0.25" top="0.75" bottom="0.75" header="0.3" footer="0.3"/>
  <pageSetup scale="48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6BE12-D09B-4A8A-95E1-1668A69841CC}">
  <sheetPr>
    <pageSetUpPr fitToPage="1"/>
  </sheetPr>
  <dimension ref="B3:L17"/>
  <sheetViews>
    <sheetView topLeftCell="B8" zoomScale="90" zoomScaleNormal="90" workbookViewId="0">
      <selection activeCell="C16" sqref="C16:I17"/>
    </sheetView>
  </sheetViews>
  <sheetFormatPr defaultRowHeight="12.5" x14ac:dyDescent="0.25"/>
  <cols>
    <col min="2" max="2" width="20.1796875" customWidth="1"/>
    <col min="3" max="3" width="44.36328125" bestFit="1" customWidth="1"/>
    <col min="4" max="4" width="19.81640625" customWidth="1"/>
    <col min="5" max="5" width="18.08984375" customWidth="1"/>
    <col min="6" max="6" width="18.6328125" customWidth="1"/>
    <col min="7" max="7" width="19.26953125" customWidth="1"/>
    <col min="8" max="8" width="15.453125" customWidth="1"/>
    <col min="9" max="9" width="8.7265625" customWidth="1"/>
    <col min="10" max="12" width="12" style="174" customWidth="1"/>
  </cols>
  <sheetData>
    <row r="3" spans="2:9" ht="15.5" x14ac:dyDescent="0.35">
      <c r="B3" s="66" t="s">
        <v>96</v>
      </c>
    </row>
    <row r="4" spans="2:9" ht="15.5" x14ac:dyDescent="0.35">
      <c r="B4" s="66" t="s">
        <v>95</v>
      </c>
    </row>
    <row r="6" spans="2:9" ht="21.5" x14ac:dyDescent="0.25">
      <c r="B6" s="3"/>
      <c r="C6" s="65" t="s">
        <v>94</v>
      </c>
      <c r="D6" s="64">
        <v>-0.12</v>
      </c>
      <c r="E6" s="63"/>
    </row>
    <row r="8" spans="2:9" ht="56" x14ac:dyDescent="0.25">
      <c r="B8" s="2" t="s">
        <v>93</v>
      </c>
      <c r="C8" s="2" t="s">
        <v>33</v>
      </c>
      <c r="D8" s="2" t="s">
        <v>0</v>
      </c>
      <c r="E8" s="2">
        <v>2024</v>
      </c>
      <c r="F8" s="2" t="s">
        <v>103</v>
      </c>
      <c r="G8" s="2" t="s">
        <v>92</v>
      </c>
      <c r="H8" s="2" t="s">
        <v>91</v>
      </c>
    </row>
    <row r="9" spans="2:9" ht="30.5" customHeight="1" x14ac:dyDescent="0.3">
      <c r="B9" s="58" t="s">
        <v>37</v>
      </c>
      <c r="C9" s="62" t="s">
        <v>90</v>
      </c>
      <c r="D9" s="58" t="s">
        <v>74</v>
      </c>
      <c r="E9" s="70">
        <v>1031100.8774400001</v>
      </c>
      <c r="F9" s="71">
        <v>1031100.8774400001</v>
      </c>
      <c r="G9" s="60">
        <v>0</v>
      </c>
      <c r="H9" s="72">
        <f t="shared" ref="H9:H10" si="0">+G9/E9</f>
        <v>0</v>
      </c>
    </row>
    <row r="10" spans="2:9" ht="30.5" customHeight="1" x14ac:dyDescent="0.3">
      <c r="B10" s="58" t="s">
        <v>37</v>
      </c>
      <c r="C10" s="62" t="s">
        <v>89</v>
      </c>
      <c r="D10" s="58" t="s">
        <v>1</v>
      </c>
      <c r="E10" s="73">
        <v>54040969202.826225</v>
      </c>
      <c r="F10" s="74">
        <v>47556052898.487076</v>
      </c>
      <c r="G10" s="75">
        <v>-6484916304.3391476</v>
      </c>
      <c r="H10" s="76">
        <f t="shared" si="0"/>
        <v>-0.12000000000000001</v>
      </c>
    </row>
    <row r="11" spans="2:9" ht="30.5" customHeight="1" x14ac:dyDescent="0.3">
      <c r="B11" s="61"/>
      <c r="C11" s="62" t="s">
        <v>88</v>
      </c>
      <c r="D11" s="58" t="s">
        <v>74</v>
      </c>
      <c r="E11" s="77">
        <v>100629.01035157357</v>
      </c>
      <c r="F11" s="74">
        <v>88553.529109384734</v>
      </c>
      <c r="G11" s="57">
        <v>-12075.481242188829</v>
      </c>
      <c r="H11" s="76">
        <f>+G11/E11</f>
        <v>-0.12000000000000001</v>
      </c>
    </row>
    <row r="12" spans="2:9" ht="30.5" customHeight="1" x14ac:dyDescent="0.3">
      <c r="B12" s="61" t="s">
        <v>38</v>
      </c>
      <c r="C12" s="5" t="s">
        <v>87</v>
      </c>
      <c r="D12" s="58" t="s">
        <v>1</v>
      </c>
      <c r="E12" s="74">
        <v>8613004890.5581779</v>
      </c>
      <c r="F12" s="60">
        <v>2128088586.2190306</v>
      </c>
      <c r="G12" s="75">
        <v>-6484916304.3391476</v>
      </c>
      <c r="H12" s="76">
        <f>(+F12-E12)/E12</f>
        <v>-0.75292147011876165</v>
      </c>
    </row>
    <row r="13" spans="2:9" ht="30.5" customHeight="1" x14ac:dyDescent="0.3">
      <c r="B13" s="59" t="s">
        <v>38</v>
      </c>
      <c r="C13" s="5" t="str">
        <f>+'[2]Anexo 3 Producto Jun'!C21</f>
        <v>Utilidad neta (PInv)</v>
      </c>
      <c r="D13" s="58" t="s">
        <v>1</v>
      </c>
      <c r="E13" s="74">
        <v>4692287845.1796293</v>
      </c>
      <c r="F13" s="57">
        <v>-1792628459.1595185</v>
      </c>
      <c r="G13" s="75">
        <v>-6484916304.3391476</v>
      </c>
      <c r="H13" s="76">
        <f>(+F13-E13)/E13</f>
        <v>-1.3820371891722456</v>
      </c>
    </row>
    <row r="16" spans="2:9" ht="51" customHeight="1" x14ac:dyDescent="0.25">
      <c r="C16" s="205" t="s">
        <v>175</v>
      </c>
      <c r="D16" s="205"/>
      <c r="E16" s="205"/>
      <c r="F16" s="205"/>
      <c r="G16" s="205"/>
      <c r="H16" s="205"/>
      <c r="I16" s="205"/>
    </row>
    <row r="17" spans="3:9" ht="80.5" customHeight="1" x14ac:dyDescent="0.25">
      <c r="C17" s="205" t="s">
        <v>176</v>
      </c>
      <c r="D17" s="205"/>
      <c r="E17" s="205"/>
      <c r="F17" s="205"/>
      <c r="G17" s="205"/>
      <c r="H17" s="205"/>
      <c r="I17" s="205"/>
    </row>
  </sheetData>
  <mergeCells count="2">
    <mergeCell ref="C16:I16"/>
    <mergeCell ref="C17:I17"/>
  </mergeCells>
  <pageMargins left="0.25" right="0.25" top="0.75" bottom="0.75" header="0.3" footer="0.3"/>
  <pageSetup scale="78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03375-F00E-413D-8C73-36992CD5F53C}">
  <sheetPr>
    <pageSetUpPr fitToPage="1"/>
  </sheetPr>
  <dimension ref="B2:V52"/>
  <sheetViews>
    <sheetView tabSelected="1" topLeftCell="A13" zoomScale="80" zoomScaleNormal="80" workbookViewId="0">
      <selection activeCell="G13" sqref="G13"/>
    </sheetView>
  </sheetViews>
  <sheetFormatPr defaultRowHeight="12.5" x14ac:dyDescent="0.25"/>
  <cols>
    <col min="2" max="2" width="20.1796875" customWidth="1"/>
    <col min="3" max="3" width="44.36328125" bestFit="1" customWidth="1"/>
    <col min="4" max="4" width="11" customWidth="1"/>
    <col min="5" max="5" width="15.08984375" customWidth="1"/>
    <col min="6" max="8" width="16.1796875" customWidth="1"/>
    <col min="9" max="9" width="15.08984375" customWidth="1"/>
    <col min="10" max="10" width="14.54296875" customWidth="1"/>
    <col min="11" max="11" width="16.453125" customWidth="1"/>
    <col min="12" max="12" width="12.81640625" bestFit="1" customWidth="1"/>
    <col min="16" max="16" width="17.26953125" customWidth="1"/>
    <col min="17" max="19" width="17.453125" bestFit="1" customWidth="1"/>
    <col min="20" max="22" width="16.36328125" bestFit="1" customWidth="1"/>
  </cols>
  <sheetData>
    <row r="2" spans="2:14" x14ac:dyDescent="0.25">
      <c r="B2" t="s">
        <v>177</v>
      </c>
    </row>
    <row r="3" spans="2:14" ht="15.5" x14ac:dyDescent="0.35">
      <c r="B3" s="66" t="s">
        <v>96</v>
      </c>
    </row>
    <row r="4" spans="2:14" ht="15.5" x14ac:dyDescent="0.35">
      <c r="B4" s="66" t="s">
        <v>95</v>
      </c>
    </row>
    <row r="7" spans="2:14" ht="14" x14ac:dyDescent="0.25">
      <c r="F7" s="2" t="s">
        <v>97</v>
      </c>
      <c r="G7" s="2" t="s">
        <v>98</v>
      </c>
      <c r="H7" s="2" t="s">
        <v>99</v>
      </c>
    </row>
    <row r="8" spans="2:14" x14ac:dyDescent="0.25">
      <c r="C8" s="9" t="s">
        <v>108</v>
      </c>
      <c r="F8" s="79">
        <v>0.03</v>
      </c>
      <c r="G8" s="79">
        <v>0.03</v>
      </c>
      <c r="H8" s="79">
        <v>0.03</v>
      </c>
    </row>
    <row r="9" spans="2:14" x14ac:dyDescent="0.25">
      <c r="C9" s="9" t="s">
        <v>109</v>
      </c>
      <c r="F9" s="79">
        <v>0.03</v>
      </c>
      <c r="G9" s="79">
        <v>0.03</v>
      </c>
      <c r="H9" s="79">
        <v>0.03</v>
      </c>
    </row>
    <row r="10" spans="2:14" x14ac:dyDescent="0.25">
      <c r="C10" s="9" t="s">
        <v>110</v>
      </c>
      <c r="F10" s="81">
        <v>0</v>
      </c>
      <c r="G10" s="81">
        <v>0</v>
      </c>
      <c r="H10" s="81">
        <v>0</v>
      </c>
    </row>
    <row r="11" spans="2:14" x14ac:dyDescent="0.25">
      <c r="C11" s="9" t="s">
        <v>113</v>
      </c>
      <c r="F11" s="81">
        <v>0</v>
      </c>
      <c r="G11" s="81">
        <v>0</v>
      </c>
      <c r="H11" s="81">
        <v>0</v>
      </c>
    </row>
    <row r="12" spans="2:14" x14ac:dyDescent="0.25">
      <c r="C12" s="9" t="s">
        <v>127</v>
      </c>
      <c r="F12" s="100">
        <v>-0.12</v>
      </c>
      <c r="G12" s="81">
        <v>0</v>
      </c>
      <c r="H12" s="81">
        <v>0</v>
      </c>
    </row>
    <row r="13" spans="2:14" x14ac:dyDescent="0.25">
      <c r="C13" s="68"/>
      <c r="F13" s="102"/>
      <c r="G13" s="80"/>
      <c r="H13" s="80"/>
    </row>
    <row r="15" spans="2:14" x14ac:dyDescent="0.25">
      <c r="B15" s="83"/>
      <c r="D15" s="84"/>
      <c r="E15" s="85"/>
      <c r="F15" s="86"/>
      <c r="G15" s="86"/>
      <c r="H15" s="86"/>
    </row>
    <row r="16" spans="2:14" ht="15.5" x14ac:dyDescent="0.35">
      <c r="B16" s="88" t="s">
        <v>112</v>
      </c>
      <c r="C16" s="78"/>
      <c r="D16" s="78"/>
      <c r="E16" s="78"/>
      <c r="F16" s="78"/>
      <c r="G16" s="78"/>
      <c r="H16" s="78"/>
      <c r="I16" s="96" t="s">
        <v>124</v>
      </c>
      <c r="J16" s="95"/>
      <c r="K16" s="95"/>
      <c r="L16" s="97" t="s">
        <v>125</v>
      </c>
      <c r="M16" s="98"/>
      <c r="N16" s="98"/>
    </row>
    <row r="17" spans="2:22" ht="42" x14ac:dyDescent="0.25">
      <c r="B17" s="2" t="s">
        <v>93</v>
      </c>
      <c r="C17" s="2" t="s">
        <v>33</v>
      </c>
      <c r="D17" s="2" t="s">
        <v>0</v>
      </c>
      <c r="E17" s="2" t="s">
        <v>107</v>
      </c>
      <c r="F17" s="2" t="s">
        <v>104</v>
      </c>
      <c r="G17" s="2" t="s">
        <v>105</v>
      </c>
      <c r="H17" s="2" t="s">
        <v>106</v>
      </c>
      <c r="I17" s="94" t="s">
        <v>121</v>
      </c>
      <c r="J17" s="94" t="s">
        <v>122</v>
      </c>
      <c r="K17" s="94" t="s">
        <v>123</v>
      </c>
      <c r="L17" s="94" t="s">
        <v>119</v>
      </c>
      <c r="M17" s="94" t="s">
        <v>120</v>
      </c>
      <c r="N17" s="94" t="s">
        <v>126</v>
      </c>
    </row>
    <row r="18" spans="2:22" ht="33.5" customHeight="1" x14ac:dyDescent="0.3">
      <c r="B18" s="58" t="s">
        <v>37</v>
      </c>
      <c r="C18" s="62" t="s">
        <v>90</v>
      </c>
      <c r="D18" s="58" t="s">
        <v>74</v>
      </c>
      <c r="E18" s="70">
        <v>1031100.8774400001</v>
      </c>
      <c r="F18" s="71">
        <v>1062033.9037631999</v>
      </c>
      <c r="G18" s="71">
        <v>1093894.920876096</v>
      </c>
      <c r="H18" s="71">
        <v>1126711.7685023788</v>
      </c>
      <c r="I18" s="60">
        <v>30933.026323199942</v>
      </c>
      <c r="J18" s="60">
        <v>31861.017112895919</v>
      </c>
      <c r="K18" s="60">
        <v>32816.847626283015</v>
      </c>
      <c r="L18" s="99">
        <f>+I18/E18</f>
        <v>2.999999999999994E-2</v>
      </c>
      <c r="M18" s="99">
        <f t="shared" ref="M18:N18" si="0">+J18/F18</f>
        <v>2.9999999999999926E-2</v>
      </c>
      <c r="N18" s="99">
        <f t="shared" si="0"/>
        <v>3.0000000000000124E-2</v>
      </c>
      <c r="P18" s="174"/>
      <c r="Q18" s="174"/>
      <c r="R18" s="174"/>
      <c r="S18" s="174"/>
      <c r="T18" s="174"/>
      <c r="U18" s="174"/>
      <c r="V18" s="174"/>
    </row>
    <row r="19" spans="2:22" ht="31" customHeight="1" x14ac:dyDescent="0.25">
      <c r="B19" s="58" t="s">
        <v>37</v>
      </c>
      <c r="C19" s="62" t="s">
        <v>89</v>
      </c>
      <c r="D19" s="58" t="s">
        <v>1</v>
      </c>
      <c r="E19" s="73">
        <v>54040969202.826225</v>
      </c>
      <c r="F19" s="74">
        <v>55662198278.911011</v>
      </c>
      <c r="G19" s="74">
        <v>57332064227.278336</v>
      </c>
      <c r="H19" s="74">
        <v>59052026154.096695</v>
      </c>
      <c r="I19" s="60">
        <v>1621229076.084785</v>
      </c>
      <c r="J19" s="60">
        <v>1669865948.3673265</v>
      </c>
      <c r="K19" s="60">
        <v>1719961926.8183568</v>
      </c>
      <c r="L19" s="99">
        <f t="shared" ref="L19:L22" si="1">+I19/E19</f>
        <v>2.9999999999999968E-2</v>
      </c>
      <c r="M19" s="99">
        <f t="shared" ref="M19:M22" si="2">+J19/F19</f>
        <v>2.9999999999999933E-2</v>
      </c>
      <c r="N19" s="99">
        <f t="shared" ref="N19:N22" si="3">+K19/G19</f>
        <v>3.0000000000000117E-2</v>
      </c>
      <c r="P19" s="174"/>
      <c r="Q19" s="174"/>
      <c r="R19" s="174"/>
      <c r="S19" s="174"/>
      <c r="T19" s="174"/>
      <c r="U19" s="174"/>
      <c r="V19" s="174"/>
    </row>
    <row r="20" spans="2:22" ht="26.5" customHeight="1" x14ac:dyDescent="0.25">
      <c r="B20" s="61"/>
      <c r="C20" s="62" t="s">
        <v>88</v>
      </c>
      <c r="D20" s="58" t="s">
        <v>74</v>
      </c>
      <c r="E20" s="77">
        <v>100629.01035157357</v>
      </c>
      <c r="F20" s="74">
        <v>100629.01035157357</v>
      </c>
      <c r="G20" s="74">
        <v>100629.01035157357</v>
      </c>
      <c r="H20" s="74">
        <v>100629.01035157357</v>
      </c>
      <c r="I20" s="60">
        <v>0</v>
      </c>
      <c r="J20" s="60">
        <v>0</v>
      </c>
      <c r="K20" s="60">
        <v>0</v>
      </c>
      <c r="L20" s="99">
        <f t="shared" si="1"/>
        <v>0</v>
      </c>
      <c r="M20" s="99">
        <f t="shared" si="2"/>
        <v>0</v>
      </c>
      <c r="N20" s="99">
        <f t="shared" si="3"/>
        <v>0</v>
      </c>
      <c r="P20" s="174"/>
      <c r="Q20" s="174"/>
      <c r="R20" s="174"/>
      <c r="S20" s="174"/>
      <c r="T20" s="174"/>
      <c r="U20" s="174"/>
      <c r="V20" s="174"/>
    </row>
    <row r="21" spans="2:22" ht="26.5" customHeight="1" x14ac:dyDescent="0.25">
      <c r="B21" s="59" t="s">
        <v>38</v>
      </c>
      <c r="C21" s="62" t="s">
        <v>132</v>
      </c>
      <c r="D21" s="58" t="s">
        <v>1</v>
      </c>
      <c r="E21" s="77">
        <v>9817028982.8641262</v>
      </c>
      <c r="F21" s="77">
        <v>10111539852.350046</v>
      </c>
      <c r="G21" s="77">
        <v>10414886047.920549</v>
      </c>
      <c r="H21" s="77">
        <v>10727332629.358168</v>
      </c>
      <c r="I21" s="60">
        <v>294510869.48592037</v>
      </c>
      <c r="J21" s="60">
        <v>303346195.57050294</v>
      </c>
      <c r="K21" s="60">
        <v>312446581.43761963</v>
      </c>
      <c r="L21" s="99">
        <f t="shared" ref="L21" si="4">+I21/E21</f>
        <v>2.9999999999999652E-2</v>
      </c>
      <c r="M21" s="99">
        <f t="shared" ref="M21" si="5">+J21/F21</f>
        <v>3.0000000000000155E-2</v>
      </c>
      <c r="N21" s="99">
        <f t="shared" ref="N21" si="6">+K21/G21</f>
        <v>3.0000000000000301E-2</v>
      </c>
      <c r="P21" s="174"/>
      <c r="Q21" s="174"/>
      <c r="R21" s="174"/>
      <c r="S21" s="174"/>
      <c r="T21" s="174"/>
      <c r="U21" s="174"/>
      <c r="V21" s="174"/>
    </row>
    <row r="22" spans="2:22" ht="28.5" customHeight="1" x14ac:dyDescent="0.25">
      <c r="B22" s="61" t="s">
        <v>38</v>
      </c>
      <c r="C22" s="5" t="s">
        <v>87</v>
      </c>
      <c r="D22" s="58" t="s">
        <v>1</v>
      </c>
      <c r="E22" s="74">
        <v>8613004890.5581779</v>
      </c>
      <c r="F22" s="60">
        <v>8907515760.0440979</v>
      </c>
      <c r="G22" s="60">
        <v>9210861955.6146011</v>
      </c>
      <c r="H22" s="60">
        <v>9523308537.0522213</v>
      </c>
      <c r="I22" s="60">
        <v>294510869.48592037</v>
      </c>
      <c r="J22" s="60">
        <v>303346195.57050294</v>
      </c>
      <c r="K22" s="60">
        <v>312446581.43761963</v>
      </c>
      <c r="L22" s="99">
        <f t="shared" si="1"/>
        <v>3.4193742280208342E-2</v>
      </c>
      <c r="M22" s="99">
        <f t="shared" si="2"/>
        <v>3.4055083790163421E-2</v>
      </c>
      <c r="N22" s="99">
        <f t="shared" si="3"/>
        <v>3.3921535567815533E-2</v>
      </c>
      <c r="P22" s="174"/>
      <c r="Q22" s="174"/>
      <c r="R22" s="174"/>
      <c r="S22" s="174"/>
      <c r="T22" s="174"/>
      <c r="U22" s="174"/>
      <c r="V22" s="174"/>
    </row>
    <row r="23" spans="2:22" ht="29" customHeight="1" x14ac:dyDescent="0.25">
      <c r="B23" s="59"/>
      <c r="C23" s="5"/>
      <c r="D23" s="58"/>
      <c r="E23" s="74"/>
      <c r="F23" s="87"/>
      <c r="G23" s="87"/>
      <c r="H23" s="87"/>
      <c r="I23" s="60"/>
      <c r="J23" s="60"/>
      <c r="K23" s="60"/>
      <c r="L23" s="99"/>
      <c r="M23" s="99"/>
      <c r="N23" s="99"/>
    </row>
    <row r="24" spans="2:22" x14ac:dyDescent="0.25">
      <c r="B24" s="83"/>
      <c r="C24" s="91"/>
      <c r="D24" s="84"/>
      <c r="E24" s="92"/>
      <c r="F24" s="93"/>
      <c r="G24" s="93"/>
      <c r="H24" s="93"/>
    </row>
    <row r="25" spans="2:22" ht="13" x14ac:dyDescent="0.3">
      <c r="B25" s="83" t="s">
        <v>134</v>
      </c>
      <c r="C25" s="62" t="s">
        <v>135</v>
      </c>
      <c r="D25" s="58"/>
      <c r="E25" s="108">
        <f>+E21/E19</f>
        <v>0.18165901033378795</v>
      </c>
      <c r="F25" s="108">
        <f t="shared" ref="F25:H25" si="7">+F21/F19</f>
        <v>0.1816590103337879</v>
      </c>
      <c r="G25" s="108">
        <f t="shared" si="7"/>
        <v>0.18165901033378795</v>
      </c>
      <c r="H25" s="108">
        <f t="shared" si="7"/>
        <v>0.18165901033378795</v>
      </c>
    </row>
    <row r="26" spans="2:22" ht="13" x14ac:dyDescent="0.3">
      <c r="B26" s="83"/>
      <c r="C26" s="62" t="s">
        <v>118</v>
      </c>
      <c r="D26" s="58"/>
      <c r="E26" s="108">
        <f>+E22/E19</f>
        <v>0.15937917135112625</v>
      </c>
      <c r="F26" s="108">
        <f t="shared" ref="F26:H26" si="8">+F22/F19</f>
        <v>0.16002809870013576</v>
      </c>
      <c r="G26" s="108">
        <f t="shared" si="8"/>
        <v>0.16065812525257228</v>
      </c>
      <c r="H26" s="108">
        <f t="shared" si="8"/>
        <v>0.16126980151707374</v>
      </c>
    </row>
    <row r="27" spans="2:22" x14ac:dyDescent="0.25">
      <c r="B27" s="83"/>
      <c r="C27" s="106"/>
      <c r="D27" s="84"/>
      <c r="E27" s="92"/>
      <c r="F27" s="93"/>
      <c r="G27" s="93"/>
      <c r="H27" s="93"/>
    </row>
    <row r="29" spans="2:22" ht="13" x14ac:dyDescent="0.3">
      <c r="B29" s="82" t="s">
        <v>111</v>
      </c>
      <c r="C29" s="78"/>
      <c r="D29" s="78"/>
      <c r="E29" s="78"/>
      <c r="F29" s="78"/>
      <c r="G29" s="78"/>
      <c r="H29" s="78"/>
      <c r="I29" s="96" t="s">
        <v>124</v>
      </c>
      <c r="J29" s="95"/>
      <c r="K29" s="95"/>
      <c r="L29" s="107" t="s">
        <v>125</v>
      </c>
      <c r="M29" s="98"/>
      <c r="N29" s="98"/>
    </row>
    <row r="30" spans="2:22" ht="42" x14ac:dyDescent="0.25">
      <c r="B30" s="2" t="s">
        <v>93</v>
      </c>
      <c r="C30" s="2" t="s">
        <v>33</v>
      </c>
      <c r="D30" s="2" t="s">
        <v>0</v>
      </c>
      <c r="E30" s="2" t="s">
        <v>107</v>
      </c>
      <c r="F30" s="2" t="s">
        <v>104</v>
      </c>
      <c r="G30" s="2" t="s">
        <v>105</v>
      </c>
      <c r="H30" s="2" t="s">
        <v>106</v>
      </c>
      <c r="I30" s="94" t="s">
        <v>121</v>
      </c>
      <c r="J30" s="94" t="s">
        <v>122</v>
      </c>
      <c r="K30" s="94" t="s">
        <v>123</v>
      </c>
      <c r="L30" s="94" t="s">
        <v>119</v>
      </c>
      <c r="M30" s="94" t="s">
        <v>120</v>
      </c>
      <c r="N30" s="94" t="s">
        <v>126</v>
      </c>
    </row>
    <row r="31" spans="2:22" ht="30.5" customHeight="1" x14ac:dyDescent="0.3">
      <c r="B31" s="58" t="s">
        <v>37</v>
      </c>
      <c r="C31" s="62" t="s">
        <v>90</v>
      </c>
      <c r="D31" s="58" t="s">
        <v>74</v>
      </c>
      <c r="E31" s="70">
        <v>1031100.8774400001</v>
      </c>
      <c r="F31" s="71">
        <v>1062033.9037631999</v>
      </c>
      <c r="G31" s="71">
        <v>1093894.920876096</v>
      </c>
      <c r="H31" s="71">
        <v>1126711.7685023788</v>
      </c>
      <c r="I31" s="60">
        <v>30933.026323199942</v>
      </c>
      <c r="J31" s="60">
        <v>31861.017112895919</v>
      </c>
      <c r="K31" s="60">
        <v>32816.847626283015</v>
      </c>
      <c r="L31" s="99">
        <f>+I31/E31</f>
        <v>2.999999999999994E-2</v>
      </c>
      <c r="M31" s="99">
        <f t="shared" ref="M31:M35" si="9">+J31/F31</f>
        <v>2.9999999999999926E-2</v>
      </c>
      <c r="N31" s="99">
        <f t="shared" ref="N31:N35" si="10">+K31/G31</f>
        <v>3.0000000000000124E-2</v>
      </c>
      <c r="P31" s="174"/>
      <c r="Q31" s="174"/>
      <c r="R31" s="174"/>
      <c r="S31" s="174"/>
      <c r="T31" s="174"/>
      <c r="U31" s="174"/>
      <c r="V31" s="174"/>
    </row>
    <row r="32" spans="2:22" ht="31.5" customHeight="1" x14ac:dyDescent="0.25">
      <c r="B32" s="58" t="s">
        <v>37</v>
      </c>
      <c r="C32" s="62" t="s">
        <v>89</v>
      </c>
      <c r="D32" s="58" t="s">
        <v>1</v>
      </c>
      <c r="E32" s="73">
        <v>54040969202.826225</v>
      </c>
      <c r="F32" s="74">
        <v>48982734485.441689</v>
      </c>
      <c r="G32" s="74">
        <v>50452216520.004936</v>
      </c>
      <c r="H32" s="74">
        <v>51965783015.605087</v>
      </c>
      <c r="I32" s="57">
        <v>-5058234717.3845358</v>
      </c>
      <c r="J32" s="60">
        <v>1469482034.5632493</v>
      </c>
      <c r="K32" s="60">
        <v>1513566495.6001537</v>
      </c>
      <c r="L32" s="99">
        <f t="shared" ref="L32:L35" si="11">+I32/E32</f>
        <v>-9.3600000000000017E-2</v>
      </c>
      <c r="M32" s="99">
        <f t="shared" si="9"/>
        <v>2.9999999999999975E-2</v>
      </c>
      <c r="N32" s="99">
        <f t="shared" si="10"/>
        <v>3.000000000000011E-2</v>
      </c>
      <c r="P32" s="174"/>
      <c r="Q32" s="174"/>
      <c r="R32" s="174"/>
      <c r="S32" s="174"/>
      <c r="T32" s="174"/>
      <c r="U32" s="174"/>
      <c r="V32" s="174"/>
    </row>
    <row r="33" spans="2:22" ht="24" customHeight="1" x14ac:dyDescent="0.25">
      <c r="B33" s="61"/>
      <c r="C33" s="62" t="s">
        <v>88</v>
      </c>
      <c r="D33" s="58" t="s">
        <v>74</v>
      </c>
      <c r="E33" s="77">
        <v>100629.01035157357</v>
      </c>
      <c r="F33" s="74">
        <v>88553.529109384734</v>
      </c>
      <c r="G33" s="74">
        <v>88553.529109384734</v>
      </c>
      <c r="H33" s="74">
        <v>88553.529109384734</v>
      </c>
      <c r="I33" s="57">
        <v>-12075.481242188829</v>
      </c>
      <c r="J33" s="60">
        <v>0</v>
      </c>
      <c r="K33" s="60">
        <v>0</v>
      </c>
      <c r="L33" s="99">
        <f t="shared" si="11"/>
        <v>-0.12000000000000001</v>
      </c>
      <c r="M33" s="99">
        <f t="shared" si="9"/>
        <v>0</v>
      </c>
      <c r="N33" s="99">
        <f t="shared" si="10"/>
        <v>0</v>
      </c>
      <c r="P33" s="174"/>
      <c r="Q33" s="174"/>
      <c r="R33" s="174"/>
      <c r="S33" s="174"/>
      <c r="T33" s="174"/>
      <c r="U33" s="174"/>
      <c r="V33" s="174"/>
    </row>
    <row r="34" spans="2:22" ht="24" customHeight="1" x14ac:dyDescent="0.25">
      <c r="B34" s="59" t="s">
        <v>38</v>
      </c>
      <c r="C34" s="62" t="s">
        <v>132</v>
      </c>
      <c r="D34" s="58" t="s">
        <v>1</v>
      </c>
      <c r="E34" s="77">
        <v>9817028982.8641262</v>
      </c>
      <c r="F34" s="77">
        <v>3432076058.8807249</v>
      </c>
      <c r="G34" s="77">
        <v>3535038340.6471362</v>
      </c>
      <c r="H34" s="77">
        <v>3641089490.8665528</v>
      </c>
      <c r="I34" s="57">
        <v>-6384952923.9834003</v>
      </c>
      <c r="J34" s="60">
        <v>102962281.76641113</v>
      </c>
      <c r="K34" s="60">
        <v>106051150.2194165</v>
      </c>
      <c r="L34" s="99">
        <f t="shared" si="11"/>
        <v>-0.65039564771872405</v>
      </c>
      <c r="M34" s="99">
        <f t="shared" si="9"/>
        <v>2.9999999999996904E-2</v>
      </c>
      <c r="N34" s="99">
        <f t="shared" si="10"/>
        <v>3.0000000000000682E-2</v>
      </c>
      <c r="P34" s="174"/>
      <c r="Q34" s="174"/>
      <c r="R34" s="174"/>
      <c r="S34" s="174"/>
      <c r="T34" s="174"/>
      <c r="U34" s="174"/>
      <c r="V34" s="174"/>
    </row>
    <row r="35" spans="2:22" ht="24" customHeight="1" x14ac:dyDescent="0.25">
      <c r="B35" s="61" t="s">
        <v>38</v>
      </c>
      <c r="C35" s="5" t="s">
        <v>87</v>
      </c>
      <c r="D35" s="58" t="s">
        <v>1</v>
      </c>
      <c r="E35" s="74">
        <v>8613004890.5581779</v>
      </c>
      <c r="F35" s="74">
        <v>2228051966.5747766</v>
      </c>
      <c r="G35" s="74">
        <v>2331014248.341188</v>
      </c>
      <c r="H35" s="74">
        <v>2437065398.5606046</v>
      </c>
      <c r="I35" s="57">
        <v>-6384952923.9834013</v>
      </c>
      <c r="J35" s="60">
        <v>102962281.76641113</v>
      </c>
      <c r="K35" s="60">
        <v>106051150.2194165</v>
      </c>
      <c r="L35" s="99">
        <f t="shared" si="11"/>
        <v>-0.74131537194211616</v>
      </c>
      <c r="M35" s="99">
        <f t="shared" si="9"/>
        <v>4.6211795465747975E-2</v>
      </c>
      <c r="N35" s="99">
        <f t="shared" si="10"/>
        <v>4.5495710845562323E-2</v>
      </c>
      <c r="P35" s="174"/>
      <c r="Q35" s="174"/>
      <c r="R35" s="174"/>
      <c r="S35" s="174"/>
      <c r="T35" s="174"/>
      <c r="U35" s="174"/>
      <c r="V35" s="174"/>
    </row>
    <row r="36" spans="2:22" ht="24" customHeight="1" x14ac:dyDescent="0.25">
      <c r="B36" s="59"/>
      <c r="C36" s="5"/>
      <c r="D36" s="58"/>
      <c r="E36" s="74"/>
      <c r="F36" s="57"/>
      <c r="G36" s="57"/>
      <c r="H36" s="57"/>
    </row>
    <row r="37" spans="2:22" x14ac:dyDescent="0.25">
      <c r="J37" s="110"/>
    </row>
    <row r="38" spans="2:22" ht="13" x14ac:dyDescent="0.3">
      <c r="B38" s="83" t="s">
        <v>134</v>
      </c>
      <c r="C38" s="62" t="s">
        <v>135</v>
      </c>
      <c r="D38" s="58"/>
      <c r="E38" s="108">
        <f>+E34/E32</f>
        <v>0.18165901033378795</v>
      </c>
      <c r="F38" s="109">
        <f t="shared" ref="F38:H38" si="12">+F34/F32</f>
        <v>7.0067057197486252E-2</v>
      </c>
      <c r="G38" s="109">
        <f t="shared" si="12"/>
        <v>7.0067057197486043E-2</v>
      </c>
      <c r="H38" s="109">
        <f t="shared" si="12"/>
        <v>7.0067057197486085E-2</v>
      </c>
    </row>
    <row r="39" spans="2:22" ht="13" x14ac:dyDescent="0.3">
      <c r="B39" s="83"/>
      <c r="C39" s="62" t="s">
        <v>118</v>
      </c>
      <c r="D39" s="58"/>
      <c r="E39" s="108">
        <f>+E35/E32</f>
        <v>0.15937917135112625</v>
      </c>
      <c r="F39" s="109">
        <f t="shared" ref="F39:H39" si="13">+F35/F32</f>
        <v>4.5486475795608813E-2</v>
      </c>
      <c r="G39" s="109">
        <f t="shared" si="13"/>
        <v>4.6202415059740966E-2</v>
      </c>
      <c r="H39" s="109">
        <f t="shared" si="13"/>
        <v>4.6897501723947181E-2</v>
      </c>
    </row>
    <row r="42" spans="2:22" ht="13" x14ac:dyDescent="0.3">
      <c r="C42" s="105" t="s">
        <v>133</v>
      </c>
      <c r="D42" s="105"/>
      <c r="E42" s="105"/>
      <c r="F42" s="105"/>
      <c r="G42" s="105"/>
      <c r="H42" s="105"/>
    </row>
    <row r="43" spans="2:22" ht="42" x14ac:dyDescent="0.25">
      <c r="C43" s="2" t="s">
        <v>33</v>
      </c>
      <c r="D43" s="2" t="s">
        <v>0</v>
      </c>
      <c r="E43" s="2" t="s">
        <v>107</v>
      </c>
      <c r="F43" s="2" t="s">
        <v>104</v>
      </c>
      <c r="G43" s="2" t="s">
        <v>105</v>
      </c>
      <c r="H43" s="2" t="s">
        <v>106</v>
      </c>
    </row>
    <row r="44" spans="2:22" x14ac:dyDescent="0.25">
      <c r="C44" s="9" t="s">
        <v>138</v>
      </c>
      <c r="D44" s="58" t="s">
        <v>74</v>
      </c>
      <c r="E44" s="4">
        <f>+E18-E31</f>
        <v>0</v>
      </c>
      <c r="F44" s="4">
        <f t="shared" ref="F44:H44" si="14">+F18-F31</f>
        <v>0</v>
      </c>
      <c r="G44" s="4">
        <f t="shared" si="14"/>
        <v>0</v>
      </c>
      <c r="H44" s="4">
        <f t="shared" si="14"/>
        <v>0</v>
      </c>
    </row>
    <row r="45" spans="2:22" x14ac:dyDescent="0.25">
      <c r="C45" s="9" t="s">
        <v>139</v>
      </c>
      <c r="D45" s="58" t="s">
        <v>1</v>
      </c>
      <c r="E45" s="60">
        <f>+E32-E19</f>
        <v>0</v>
      </c>
      <c r="F45" s="57">
        <v>-12824570483.461098</v>
      </c>
      <c r="G45" s="57">
        <v>-13209307597.964926</v>
      </c>
      <c r="H45" s="57">
        <v>-13605586825.903887</v>
      </c>
      <c r="J45" s="177"/>
    </row>
    <row r="46" spans="2:22" x14ac:dyDescent="0.25">
      <c r="C46" s="9" t="s">
        <v>140</v>
      </c>
      <c r="D46" s="5"/>
      <c r="E46" s="60">
        <f>+E33-E20</f>
        <v>0</v>
      </c>
      <c r="F46" s="57">
        <v>-23184.923985002562</v>
      </c>
      <c r="G46" s="57">
        <v>-23184.923985002562</v>
      </c>
      <c r="H46" s="57">
        <v>-23184.923985002562</v>
      </c>
      <c r="J46" s="177"/>
    </row>
    <row r="47" spans="2:22" x14ac:dyDescent="0.25">
      <c r="C47" s="9" t="s">
        <v>141</v>
      </c>
      <c r="D47" s="5"/>
      <c r="E47" s="5"/>
      <c r="F47" s="112">
        <f>+(F34-F21)/F21</f>
        <v>-0.66057829875604279</v>
      </c>
      <c r="G47" s="112">
        <f t="shared" ref="G47:H47" si="15">+(G34-G21)/G21</f>
        <v>-0.66057829875604379</v>
      </c>
      <c r="H47" s="112">
        <f t="shared" si="15"/>
        <v>-0.66057829875604368</v>
      </c>
    </row>
    <row r="48" spans="2:22" x14ac:dyDescent="0.25">
      <c r="C48" s="9" t="s">
        <v>142</v>
      </c>
      <c r="D48" s="5"/>
      <c r="E48" s="5"/>
      <c r="F48" s="111">
        <f>+(F35-F22)/F22</f>
        <v>-0.74986831047001745</v>
      </c>
      <c r="G48" s="111">
        <f t="shared" ref="G48:H48" si="16">+(G35-G22)/G22</f>
        <v>-0.7469276752193329</v>
      </c>
      <c r="H48" s="111">
        <f t="shared" si="16"/>
        <v>-0.74409467160716858</v>
      </c>
    </row>
    <row r="49" spans="2:8" x14ac:dyDescent="0.25">
      <c r="F49" s="69"/>
    </row>
    <row r="51" spans="2:8" ht="49.5" customHeight="1" x14ac:dyDescent="0.25">
      <c r="B51" s="205" t="s">
        <v>175</v>
      </c>
      <c r="C51" s="205"/>
      <c r="D51" s="205"/>
      <c r="E51" s="205"/>
      <c r="F51" s="205"/>
      <c r="G51" s="205"/>
      <c r="H51" s="205"/>
    </row>
    <row r="52" spans="2:8" ht="70" customHeight="1" x14ac:dyDescent="0.25">
      <c r="B52" s="205" t="s">
        <v>176</v>
      </c>
      <c r="C52" s="205"/>
      <c r="D52" s="205"/>
      <c r="E52" s="205"/>
      <c r="F52" s="205"/>
      <c r="G52" s="205"/>
      <c r="H52" s="205"/>
    </row>
  </sheetData>
  <mergeCells count="2">
    <mergeCell ref="B51:H51"/>
    <mergeCell ref="B52:H52"/>
  </mergeCells>
  <pageMargins left="0.7" right="0.7" top="0.75" bottom="0.75" header="0.3" footer="0.3"/>
  <pageSetup scale="55" fitToHeight="0" orientation="landscape" horizontalDpi="300" verticalDpi="300" r:id="rId1"/>
  <headerFoot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A5DF7-D204-45BA-BEDD-9479CFCED5EA}">
  <sheetPr>
    <pageSetUpPr fitToPage="1"/>
  </sheetPr>
  <dimension ref="E7:H31"/>
  <sheetViews>
    <sheetView workbookViewId="0">
      <selection activeCell="E30" sqref="E30:H31"/>
    </sheetView>
  </sheetViews>
  <sheetFormatPr defaultRowHeight="12.5" x14ac:dyDescent="0.25"/>
  <cols>
    <col min="7" max="7" width="48.453125" customWidth="1"/>
    <col min="8" max="8" width="18.54296875" customWidth="1"/>
  </cols>
  <sheetData>
    <row r="7" spans="7:8" ht="31" x14ac:dyDescent="0.25">
      <c r="G7" s="117" t="s">
        <v>143</v>
      </c>
      <c r="H7" s="115" t="s">
        <v>147</v>
      </c>
    </row>
    <row r="8" spans="7:8" ht="15.5" x14ac:dyDescent="0.25">
      <c r="G8" s="116" t="s">
        <v>154</v>
      </c>
      <c r="H8" s="119">
        <v>128576.64</v>
      </c>
    </row>
    <row r="9" spans="7:8" ht="15.5" x14ac:dyDescent="0.25">
      <c r="G9" s="116" t="s">
        <v>155</v>
      </c>
      <c r="H9" s="119">
        <v>143583.35999999999</v>
      </c>
    </row>
    <row r="10" spans="7:8" ht="15.5" x14ac:dyDescent="0.25">
      <c r="G10" s="116" t="s">
        <v>156</v>
      </c>
      <c r="H10" s="119">
        <v>141459.84</v>
      </c>
    </row>
    <row r="11" spans="7:8" ht="15.5" x14ac:dyDescent="0.25">
      <c r="G11" s="114" t="s">
        <v>157</v>
      </c>
      <c r="H11" s="120">
        <v>137873.28</v>
      </c>
    </row>
    <row r="12" spans="7:8" ht="15.5" x14ac:dyDescent="0.25">
      <c r="G12" s="114" t="s">
        <v>158</v>
      </c>
      <c r="H12" s="120">
        <v>103365.12</v>
      </c>
    </row>
    <row r="13" spans="7:8" ht="15.5" x14ac:dyDescent="0.25">
      <c r="G13" s="114" t="s">
        <v>144</v>
      </c>
      <c r="H13" s="122">
        <v>34508.159999999996</v>
      </c>
    </row>
    <row r="14" spans="7:8" ht="15.5" x14ac:dyDescent="0.25">
      <c r="G14" s="114" t="s">
        <v>145</v>
      </c>
      <c r="H14" s="121">
        <v>0.33</v>
      </c>
    </row>
    <row r="15" spans="7:8" ht="15.5" x14ac:dyDescent="0.25">
      <c r="G15" s="114" t="s">
        <v>148</v>
      </c>
      <c r="H15" s="113">
        <v>100629.01035157357</v>
      </c>
    </row>
    <row r="16" spans="7:8" ht="15.5" x14ac:dyDescent="0.25">
      <c r="G16" s="114" t="s">
        <v>149</v>
      </c>
      <c r="H16" s="4">
        <v>1808605203.0488317</v>
      </c>
    </row>
    <row r="18" spans="5:8" ht="13" x14ac:dyDescent="0.3">
      <c r="G18" s="62" t="s">
        <v>135</v>
      </c>
      <c r="H18" s="109"/>
    </row>
    <row r="19" spans="5:8" ht="13" x14ac:dyDescent="0.3">
      <c r="G19" s="62" t="s">
        <v>118</v>
      </c>
      <c r="H19" s="109"/>
    </row>
    <row r="21" spans="5:8" x14ac:dyDescent="0.25">
      <c r="G21" s="9" t="s">
        <v>150</v>
      </c>
      <c r="H21" s="118">
        <v>328549431.27039033</v>
      </c>
    </row>
    <row r="22" spans="5:8" x14ac:dyDescent="0.25">
      <c r="G22" s="9" t="s">
        <v>151</v>
      </c>
      <c r="H22" s="118">
        <v>288253998.56325829</v>
      </c>
    </row>
    <row r="24" spans="5:8" x14ac:dyDescent="0.25">
      <c r="G24" s="9" t="s">
        <v>152</v>
      </c>
      <c r="H24" s="118">
        <f>+H21*3</f>
        <v>985648293.81117105</v>
      </c>
    </row>
    <row r="25" spans="5:8" x14ac:dyDescent="0.25">
      <c r="G25" s="9" t="s">
        <v>153</v>
      </c>
      <c r="H25" s="118">
        <f>+H22*3</f>
        <v>864761995.68977487</v>
      </c>
    </row>
    <row r="27" spans="5:8" ht="13" x14ac:dyDescent="0.25">
      <c r="E27" s="175"/>
    </row>
    <row r="28" spans="5:8" ht="13" x14ac:dyDescent="0.25">
      <c r="E28" s="175" t="s">
        <v>174</v>
      </c>
    </row>
    <row r="29" spans="5:8" ht="15.5" x14ac:dyDescent="0.25">
      <c r="E29" s="176"/>
    </row>
    <row r="30" spans="5:8" ht="109.5" customHeight="1" x14ac:dyDescent="0.25">
      <c r="E30" s="206" t="s">
        <v>175</v>
      </c>
      <c r="F30" s="206"/>
      <c r="G30" s="206"/>
      <c r="H30" s="206"/>
    </row>
    <row r="31" spans="5:8" ht="129" customHeight="1" x14ac:dyDescent="0.25">
      <c r="E31" s="207" t="s">
        <v>176</v>
      </c>
      <c r="F31" s="207"/>
      <c r="G31" s="207"/>
      <c r="H31" s="207"/>
    </row>
  </sheetData>
  <mergeCells count="2">
    <mergeCell ref="E30:H30"/>
    <mergeCell ref="E31:H31"/>
  </mergeCells>
  <pageMargins left="0.45" right="0.7" top="1.5" bottom="0.75" header="0.3" footer="0.3"/>
  <pageSetup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Anexo 1</vt:lpstr>
      <vt:lpstr>Parametros 3 anos</vt:lpstr>
      <vt:lpstr>EBIT 1 ano</vt:lpstr>
      <vt:lpstr>Escenario A  3 anos</vt:lpstr>
      <vt:lpstr>Escanerio B</vt:lpstr>
      <vt:lpstr>'Anexo 1'!Criteria</vt:lpstr>
      <vt:lpstr>'Anexo 1'!Excel_BuiltIn_Print_Area_2</vt:lpstr>
      <vt:lpstr>'Anexo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Lynette Batista</cp:lastModifiedBy>
  <cp:lastPrinted>2025-09-23T17:47:56Z</cp:lastPrinted>
  <dcterms:created xsi:type="dcterms:W3CDTF">2008-11-12T22:41:20Z</dcterms:created>
  <dcterms:modified xsi:type="dcterms:W3CDTF">2025-09-23T17:57:06Z</dcterms:modified>
</cp:coreProperties>
</file>